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029"/>
  <workbookPr defaultThemeVersion="166925"/>
  <mc:AlternateContent xmlns:mc="http://schemas.openxmlformats.org/markup-compatibility/2006">
    <mc:Choice Requires="x15">
      <x15ac:absPath xmlns:x15ac="http://schemas.microsoft.com/office/spreadsheetml/2010/11/ac" url="G:\IOOF\Finance\Accounting\010 - Investor Presentations\2020-2021\"/>
    </mc:Choice>
  </mc:AlternateContent>
  <xr:revisionPtr revIDLastSave="0" documentId="13_ncr:1_{56A5C05B-68D2-4871-A636-D9FD4E58357A}" xr6:coauthVersionLast="45" xr6:coauthVersionMax="46" xr10:uidLastSave="{00000000-0000-0000-0000-000000000000}"/>
  <bookViews>
    <workbookView xWindow="16080" yWindow="-16320" windowWidth="29040" windowHeight="15840" tabRatio="851" xr2:uid="{630EB5D9-A453-4552-ACCE-53BBFDD4FA4F}"/>
  </bookViews>
  <sheets>
    <sheet name="Disclaimer" sheetId="18" r:id="rId1"/>
    <sheet name="Group Result" sheetId="1" r:id="rId2"/>
    <sheet name="Advice" sheetId="2" r:id="rId3"/>
    <sheet name="Portfolio &amp; EA" sheetId="3" r:id="rId4"/>
    <sheet name="Investments" sheetId="4" r:id="rId5"/>
    <sheet name="P&amp;I" sheetId="5" r:id="rId6"/>
    <sheet name="Ex-ANZ ALs" sheetId="6" r:id="rId7"/>
    <sheet name="MLC" sheetId="19" r:id="rId8"/>
    <sheet name="Corporate" sheetId="7" r:id="rId9"/>
    <sheet name="Disc Ops" sheetId="8" r:id="rId10"/>
    <sheet name="FUMA" sheetId="15" r:id="rId11"/>
    <sheet name="Remediation" sheetId="12" r:id="rId12"/>
    <sheet name="UNPAT" sheetId="9" r:id="rId13"/>
    <sheet name="Balance Sheet" sheetId="16" r:id="rId14"/>
    <sheet name="Cash Flows" sheetId="13" r:id="rId15"/>
    <sheet name="Debt" sheetId="17" r:id="rId16"/>
    <sheet name="Asset Allocation" sheetId="10" r:id="rId17"/>
    <sheet name="Ratios" sheetId="11" r:id="rId18"/>
  </sheets>
  <definedNames>
    <definedName name="_xlnm.Print_Area" localSheetId="2">Advice!$A$1:$N$59</definedName>
    <definedName name="_xlnm.Print_Area" localSheetId="1">'Group Result'!$A$1:$M$107</definedName>
    <definedName name="_xlnm.Print_Titles" localSheetId="2">Advice!$1:$2</definedName>
    <definedName name="_xlnm.Print_Titles" localSheetId="9">'Disc Ops'!$1:$2</definedName>
    <definedName name="_xlnm.Print_Titles" localSheetId="0">Disclaimer!$1:$2</definedName>
    <definedName name="_xlnm.Print_Titles" localSheetId="10">FUMA!$1:$2</definedName>
    <definedName name="_xlnm.Print_Titles" localSheetId="1">'Group Result'!$1:$2</definedName>
    <definedName name="_xlnm.Print_Titles" localSheetId="7">MLC!$1:$2</definedName>
    <definedName name="_xlnm.Print_Titles" localSheetId="5">'P&amp;I'!$1:$2</definedName>
  </definedNames>
  <calcPr calcId="191029" calcMode="manual" calcCompleted="0"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94" i="1" l="1"/>
  <c r="J94" i="1"/>
  <c r="L94" i="1" s="1"/>
  <c r="M94" i="1"/>
  <c r="M12" i="7" l="1"/>
  <c r="M28" i="5"/>
  <c r="M27" i="3"/>
  <c r="F12" i="3"/>
  <c r="F11" i="3"/>
  <c r="D13" i="3"/>
  <c r="F13" i="3"/>
  <c r="I33" i="2" l="1"/>
  <c r="E33" i="19" l="1"/>
  <c r="F33" i="19" s="1"/>
  <c r="E34" i="19"/>
  <c r="F34" i="19" s="1"/>
  <c r="E32" i="19"/>
  <c r="F32" i="19" s="1"/>
  <c r="E25" i="19"/>
  <c r="F25" i="19" s="1"/>
  <c r="E29" i="19"/>
  <c r="I41" i="2"/>
  <c r="I40" i="2"/>
  <c r="I39" i="2"/>
  <c r="F37" i="2"/>
  <c r="F42" i="2" s="1"/>
  <c r="E37" i="2"/>
  <c r="E42" i="2" s="1"/>
  <c r="D37" i="2"/>
  <c r="D42" i="2" s="1"/>
  <c r="C37" i="2"/>
  <c r="C42" i="2" s="1"/>
  <c r="B37" i="2"/>
  <c r="B42" i="2" s="1"/>
  <c r="I36" i="2"/>
  <c r="M36" i="2" s="1"/>
  <c r="I35" i="2"/>
  <c r="I34" i="2"/>
  <c r="I32" i="2"/>
  <c r="C10" i="19" l="1"/>
  <c r="E24" i="19"/>
  <c r="E40" i="19"/>
  <c r="F40" i="19" s="1"/>
  <c r="E28" i="19"/>
  <c r="F28" i="19" s="1"/>
  <c r="E38" i="19"/>
  <c r="F38" i="19" s="1"/>
  <c r="E26" i="19"/>
  <c r="F26" i="19" s="1"/>
  <c r="E37" i="19"/>
  <c r="F37" i="19" s="1"/>
  <c r="E44" i="19"/>
  <c r="F44" i="19" s="1"/>
  <c r="F24" i="19"/>
  <c r="E45" i="19"/>
  <c r="F45" i="19" s="1"/>
  <c r="E30" i="19"/>
  <c r="F30" i="19" s="1"/>
  <c r="E48" i="19"/>
  <c r="F48" i="19" s="1"/>
  <c r="E42" i="19"/>
  <c r="F42" i="19" s="1"/>
  <c r="E47" i="19"/>
  <c r="F47" i="19" s="1"/>
  <c r="E35" i="19"/>
  <c r="F35" i="19" s="1"/>
  <c r="E50" i="19"/>
  <c r="F50" i="19" s="1"/>
  <c r="F29" i="19"/>
  <c r="E39" i="19"/>
  <c r="F39" i="19" s="1"/>
  <c r="E36" i="19"/>
  <c r="F36" i="19" s="1"/>
  <c r="E27" i="19"/>
  <c r="F27" i="19" s="1"/>
  <c r="E43" i="19"/>
  <c r="F43" i="19" s="1"/>
  <c r="E46" i="19"/>
  <c r="F46" i="19" s="1"/>
  <c r="E49" i="19"/>
  <c r="F49" i="19" s="1"/>
  <c r="C9" i="19"/>
  <c r="G54" i="2"/>
  <c r="G59" i="2" s="1"/>
  <c r="I37" i="2"/>
  <c r="I42" i="2" l="1"/>
  <c r="B13" i="12" l="1"/>
  <c r="C7" i="12" s="1"/>
  <c r="I42" i="5"/>
  <c r="I11" i="3"/>
  <c r="G32" i="2"/>
  <c r="J32" i="2" l="1"/>
  <c r="L32" i="2" l="1"/>
  <c r="M32" i="2" s="1"/>
  <c r="G16" i="17" l="1"/>
  <c r="I12" i="11" l="1"/>
  <c r="F12" i="11"/>
  <c r="I9" i="11"/>
  <c r="I10" i="11"/>
  <c r="G29" i="1" l="1"/>
  <c r="G31" i="1" l="1"/>
  <c r="G32" i="1" s="1"/>
  <c r="I25" i="11"/>
  <c r="J25" i="11"/>
  <c r="I20" i="11" l="1"/>
  <c r="I21" i="1" s="1"/>
  <c r="I19" i="11"/>
  <c r="I20" i="1" s="1"/>
  <c r="I18" i="11"/>
  <c r="I19" i="1" s="1"/>
  <c r="G20" i="17"/>
  <c r="G26" i="17" s="1"/>
  <c r="G42" i="16"/>
  <c r="G44" i="16" s="1"/>
  <c r="G34" i="16"/>
  <c r="G36" i="16" s="1"/>
  <c r="G10" i="9" l="1"/>
  <c r="G29" i="9" s="1"/>
  <c r="G31" i="9" s="1"/>
  <c r="M68" i="8" l="1"/>
  <c r="J68" i="8"/>
  <c r="L68" i="8" s="1"/>
  <c r="I68" i="8"/>
  <c r="J67" i="8"/>
  <c r="L67" i="8" s="1"/>
  <c r="I67" i="8"/>
  <c r="M66" i="8"/>
  <c r="J66" i="8"/>
  <c r="L66" i="8" s="1"/>
  <c r="I66" i="8"/>
  <c r="G64" i="8"/>
  <c r="G69" i="8" s="1"/>
  <c r="J63" i="8"/>
  <c r="L63" i="8" s="1"/>
  <c r="I63" i="8"/>
  <c r="M63" i="8" s="1"/>
  <c r="J62" i="8"/>
  <c r="I62" i="8"/>
  <c r="M62" i="8" s="1"/>
  <c r="J61" i="8"/>
  <c r="J64" i="8" s="1"/>
  <c r="I61" i="8"/>
  <c r="M61" i="8" s="1"/>
  <c r="L60" i="8"/>
  <c r="J60" i="8"/>
  <c r="I60" i="8"/>
  <c r="M60" i="8" s="1"/>
  <c r="J59" i="8"/>
  <c r="L59" i="8" s="1"/>
  <c r="I59" i="8"/>
  <c r="I64" i="8" s="1"/>
  <c r="J51" i="8"/>
  <c r="L51" i="8" s="1"/>
  <c r="M51" i="8" s="1"/>
  <c r="I51" i="8"/>
  <c r="M50" i="8"/>
  <c r="J50" i="8"/>
  <c r="L50" i="8" s="1"/>
  <c r="I50" i="8"/>
  <c r="L49" i="8"/>
  <c r="M49" i="8" s="1"/>
  <c r="J49" i="8"/>
  <c r="I49" i="8"/>
  <c r="G47" i="8"/>
  <c r="G52" i="8" s="1"/>
  <c r="L46" i="8"/>
  <c r="J46" i="8"/>
  <c r="I46" i="8"/>
  <c r="M46" i="8" s="1"/>
  <c r="J45" i="8"/>
  <c r="I45" i="8"/>
  <c r="J44" i="8"/>
  <c r="I44" i="8"/>
  <c r="J43" i="8"/>
  <c r="L43" i="8" s="1"/>
  <c r="I43" i="8"/>
  <c r="M43" i="8" s="1"/>
  <c r="J42" i="8"/>
  <c r="I42" i="8"/>
  <c r="I47" i="8" s="1"/>
  <c r="J34" i="8"/>
  <c r="L34" i="8" s="1"/>
  <c r="M34" i="8" s="1"/>
  <c r="I34" i="8"/>
  <c r="M33" i="8"/>
  <c r="J33" i="8"/>
  <c r="L33" i="8" s="1"/>
  <c r="I33" i="8"/>
  <c r="J32" i="8"/>
  <c r="L32" i="8" s="1"/>
  <c r="M32" i="8" s="1"/>
  <c r="I32" i="8"/>
  <c r="G30" i="8"/>
  <c r="G35" i="8" s="1"/>
  <c r="J29" i="8"/>
  <c r="L29" i="8" s="1"/>
  <c r="I29" i="8"/>
  <c r="M29" i="8" s="1"/>
  <c r="J28" i="8"/>
  <c r="I28" i="8"/>
  <c r="J27" i="8"/>
  <c r="L27" i="8" s="1"/>
  <c r="I27" i="8"/>
  <c r="L26" i="8"/>
  <c r="J26" i="8"/>
  <c r="I26" i="8"/>
  <c r="M26" i="8" s="1"/>
  <c r="J25" i="8"/>
  <c r="I25" i="8"/>
  <c r="I30" i="8" s="1"/>
  <c r="M17" i="8"/>
  <c r="J17" i="8"/>
  <c r="L17" i="8" s="1"/>
  <c r="I17" i="8"/>
  <c r="J16" i="8"/>
  <c r="L16" i="8" s="1"/>
  <c r="I16" i="8"/>
  <c r="M16" i="8" s="1"/>
  <c r="M15" i="8"/>
  <c r="J15" i="8"/>
  <c r="L15" i="8" s="1"/>
  <c r="I15" i="8"/>
  <c r="G13" i="8"/>
  <c r="G18" i="8" s="1"/>
  <c r="J12" i="8"/>
  <c r="L12" i="8" s="1"/>
  <c r="I12" i="8"/>
  <c r="M12" i="8" s="1"/>
  <c r="J11" i="8"/>
  <c r="I11" i="8"/>
  <c r="M11" i="8" s="1"/>
  <c r="J10" i="8"/>
  <c r="L10" i="8" s="1"/>
  <c r="I10" i="8"/>
  <c r="M10" i="8" s="1"/>
  <c r="L9" i="8"/>
  <c r="J9" i="8"/>
  <c r="I9" i="8"/>
  <c r="M9" i="8" s="1"/>
  <c r="J8" i="8"/>
  <c r="I8" i="8"/>
  <c r="I13" i="8" s="1"/>
  <c r="I17" i="7"/>
  <c r="I16" i="7"/>
  <c r="M16" i="7" s="1"/>
  <c r="I15" i="7"/>
  <c r="I12" i="7"/>
  <c r="I11" i="7"/>
  <c r="M11" i="7" s="1"/>
  <c r="I10" i="7"/>
  <c r="M10" i="7" s="1"/>
  <c r="I9" i="7"/>
  <c r="I8" i="7"/>
  <c r="I24" i="6"/>
  <c r="I23" i="6"/>
  <c r="I22" i="6"/>
  <c r="I19" i="6"/>
  <c r="M19" i="6" s="1"/>
  <c r="I18" i="6"/>
  <c r="I17" i="6"/>
  <c r="I16" i="6"/>
  <c r="I15" i="6"/>
  <c r="M40" i="5"/>
  <c r="I39" i="5"/>
  <c r="I40" i="5"/>
  <c r="I41" i="5"/>
  <c r="I37" i="5"/>
  <c r="I29" i="5"/>
  <c r="I28" i="5"/>
  <c r="I27" i="5"/>
  <c r="I24" i="5"/>
  <c r="M24" i="5" s="1"/>
  <c r="I23" i="5"/>
  <c r="I21" i="5"/>
  <c r="L8" i="5"/>
  <c r="M8" i="5" s="1"/>
  <c r="I29" i="4"/>
  <c r="I28" i="4"/>
  <c r="M28" i="4" s="1"/>
  <c r="I27" i="4"/>
  <c r="M27" i="4" s="1"/>
  <c r="I24" i="4"/>
  <c r="I23" i="4"/>
  <c r="I22" i="4"/>
  <c r="I21" i="4"/>
  <c r="I20" i="4"/>
  <c r="C30" i="3"/>
  <c r="D30" i="3"/>
  <c r="E30" i="3"/>
  <c r="F30" i="3"/>
  <c r="I29" i="3"/>
  <c r="I24" i="3"/>
  <c r="I28" i="3"/>
  <c r="M28" i="3" s="1"/>
  <c r="I27" i="3"/>
  <c r="I23" i="3"/>
  <c r="I21" i="3"/>
  <c r="L8" i="3"/>
  <c r="M8" i="3" s="1"/>
  <c r="I23" i="2"/>
  <c r="I24" i="2"/>
  <c r="I22" i="2"/>
  <c r="I16" i="2"/>
  <c r="I17" i="2"/>
  <c r="I18" i="2"/>
  <c r="I19" i="2"/>
  <c r="M19" i="2" s="1"/>
  <c r="I15" i="2"/>
  <c r="L29" i="1"/>
  <c r="M29" i="1" s="1"/>
  <c r="I104" i="1"/>
  <c r="J104" i="1"/>
  <c r="L104" i="1" s="1"/>
  <c r="M104" i="1" s="1"/>
  <c r="I105" i="1"/>
  <c r="J105" i="1"/>
  <c r="I106" i="1"/>
  <c r="J106" i="1"/>
  <c r="J103" i="1"/>
  <c r="I103" i="1"/>
  <c r="M103" i="1" s="1"/>
  <c r="I100" i="1"/>
  <c r="I99" i="1"/>
  <c r="I96" i="1"/>
  <c r="I95" i="1"/>
  <c r="I97" i="1" s="1"/>
  <c r="I49" i="1" s="1"/>
  <c r="I93" i="1"/>
  <c r="I89" i="1"/>
  <c r="I90" i="1"/>
  <c r="I88" i="1"/>
  <c r="I78" i="1"/>
  <c r="I79" i="1"/>
  <c r="I80" i="1"/>
  <c r="I81" i="1"/>
  <c r="I82" i="1"/>
  <c r="I83" i="1"/>
  <c r="I84" i="1"/>
  <c r="I85" i="1"/>
  <c r="I77" i="1"/>
  <c r="I72" i="1"/>
  <c r="I73" i="1" s="1"/>
  <c r="I46" i="1" s="1"/>
  <c r="I66" i="1"/>
  <c r="I67" i="1"/>
  <c r="I68" i="1"/>
  <c r="I69" i="1"/>
  <c r="I65" i="1"/>
  <c r="I59" i="1"/>
  <c r="I61" i="1"/>
  <c r="I62" i="1"/>
  <c r="I32" i="1"/>
  <c r="J31" i="1"/>
  <c r="J32" i="1" s="1"/>
  <c r="L32" i="1" s="1"/>
  <c r="M32" i="1" s="1"/>
  <c r="E31" i="1"/>
  <c r="I31" i="1" s="1"/>
  <c r="J30" i="1"/>
  <c r="I30" i="1"/>
  <c r="J29" i="1"/>
  <c r="I29" i="1"/>
  <c r="J26" i="1"/>
  <c r="I26" i="1"/>
  <c r="J25" i="1"/>
  <c r="I25" i="1"/>
  <c r="J24" i="1"/>
  <c r="I24" i="1"/>
  <c r="J23" i="1"/>
  <c r="I23" i="1"/>
  <c r="L23" i="1" l="1"/>
  <c r="M23" i="1" s="1"/>
  <c r="L26" i="1"/>
  <c r="M26" i="1" s="1"/>
  <c r="L106" i="1"/>
  <c r="M106" i="1" s="1"/>
  <c r="L30" i="1"/>
  <c r="M30" i="1" s="1"/>
  <c r="L25" i="1"/>
  <c r="M25" i="1" s="1"/>
  <c r="I91" i="1"/>
  <c r="I48" i="1" s="1"/>
  <c r="I101" i="1"/>
  <c r="I50" i="1" s="1"/>
  <c r="L105" i="1"/>
  <c r="M105" i="1" s="1"/>
  <c r="I13" i="7"/>
  <c r="L24" i="1"/>
  <c r="M24" i="1" s="1"/>
  <c r="L103" i="1"/>
  <c r="I20" i="2"/>
  <c r="I8" i="2" s="1"/>
  <c r="J13" i="8"/>
  <c r="J30" i="8"/>
  <c r="J35" i="8" s="1"/>
  <c r="M27" i="8"/>
  <c r="J47" i="8"/>
  <c r="L47" i="8" s="1"/>
  <c r="M47" i="8" s="1"/>
  <c r="M67" i="8"/>
  <c r="I25" i="4"/>
  <c r="I20" i="6"/>
  <c r="I70" i="1"/>
  <c r="I45" i="1" s="1"/>
  <c r="I86" i="1"/>
  <c r="I47" i="1" s="1"/>
  <c r="L31" i="1"/>
  <c r="M31" i="1" s="1"/>
  <c r="I35" i="8"/>
  <c r="M64" i="8"/>
  <c r="I69" i="8"/>
  <c r="L64" i="8"/>
  <c r="J69" i="8"/>
  <c r="L13" i="8"/>
  <c r="J18" i="8"/>
  <c r="L18" i="8" s="1"/>
  <c r="L30" i="8"/>
  <c r="M30" i="8" s="1"/>
  <c r="M13" i="8"/>
  <c r="I18" i="8"/>
  <c r="M18" i="8" s="1"/>
  <c r="I52" i="8"/>
  <c r="J52" i="8"/>
  <c r="L8" i="8"/>
  <c r="L11" i="8"/>
  <c r="L25" i="8"/>
  <c r="L28" i="8"/>
  <c r="M28" i="8" s="1"/>
  <c r="L42" i="8"/>
  <c r="M42" i="8" s="1"/>
  <c r="L45" i="8"/>
  <c r="M45" i="8" s="1"/>
  <c r="L62" i="8"/>
  <c r="M8" i="8"/>
  <c r="M25" i="8"/>
  <c r="M59" i="8"/>
  <c r="L44" i="8"/>
  <c r="M44" i="8" s="1"/>
  <c r="L61" i="8"/>
  <c r="I18" i="7"/>
  <c r="M8" i="7"/>
  <c r="I25" i="6"/>
  <c r="I30" i="4"/>
  <c r="I12" i="4"/>
  <c r="I13" i="4"/>
  <c r="M24" i="4"/>
  <c r="E32" i="1"/>
  <c r="F35" i="8"/>
  <c r="I25" i="2" l="1"/>
  <c r="I8" i="6"/>
  <c r="L35" i="8"/>
  <c r="M35" i="8" s="1"/>
  <c r="L52" i="8"/>
  <c r="M52" i="8" s="1"/>
  <c r="L69" i="8"/>
  <c r="M69" i="8" s="1"/>
  <c r="C42" i="5"/>
  <c r="D42" i="5" l="1"/>
  <c r="B42" i="5"/>
  <c r="E42" i="5"/>
  <c r="D25" i="4" l="1"/>
  <c r="C12" i="11" l="1"/>
  <c r="D12" i="11"/>
  <c r="D39" i="11"/>
  <c r="E12" i="11"/>
  <c r="E20" i="11" s="1"/>
  <c r="B12" i="11"/>
  <c r="D37" i="11" l="1"/>
  <c r="D40" i="11"/>
  <c r="D38" i="11"/>
  <c r="C64" i="8" l="1"/>
  <c r="C69" i="8" s="1"/>
  <c r="D64" i="8"/>
  <c r="D69" i="8" s="1"/>
  <c r="E64" i="8"/>
  <c r="E69" i="8" s="1"/>
  <c r="F64" i="8"/>
  <c r="F69" i="8" s="1"/>
  <c r="B64" i="8" l="1"/>
  <c r="B69" i="8" s="1"/>
  <c r="F30" i="8"/>
  <c r="F13" i="8" l="1"/>
  <c r="F18" i="8" s="1"/>
  <c r="F47" i="8"/>
  <c r="F52" i="8" s="1"/>
  <c r="F25" i="4" l="1"/>
  <c r="F30" i="4" s="1"/>
  <c r="F13" i="7"/>
  <c r="F18" i="7" s="1"/>
  <c r="F20" i="2" l="1"/>
  <c r="F20" i="6"/>
  <c r="F40" i="5"/>
  <c r="F10" i="4"/>
  <c r="F25" i="2" l="1"/>
  <c r="F8" i="2"/>
  <c r="F25" i="6"/>
  <c r="F6" i="4"/>
  <c r="F73" i="1"/>
  <c r="F8" i="6"/>
  <c r="F7" i="2"/>
  <c r="F41" i="5"/>
  <c r="F7" i="6"/>
  <c r="F13" i="4"/>
  <c r="F39" i="5"/>
  <c r="F23" i="11"/>
  <c r="F97" i="1"/>
  <c r="F91" i="1"/>
  <c r="F6" i="6" l="1"/>
  <c r="F48" i="1"/>
  <c r="F10" i="3"/>
  <c r="F86" i="1"/>
  <c r="F46" i="1"/>
  <c r="F49" i="1"/>
  <c r="F6" i="3" l="1"/>
  <c r="F47" i="1"/>
  <c r="F26" i="11"/>
  <c r="F70" i="1" l="1"/>
  <c r="F6" i="2"/>
  <c r="F45" i="1" l="1"/>
  <c r="F24" i="11"/>
  <c r="F101" i="1"/>
  <c r="F50" i="1" l="1"/>
  <c r="C30" i="8" l="1"/>
  <c r="B30" i="8"/>
  <c r="D30" i="8" l="1"/>
  <c r="E30" i="8"/>
  <c r="E25" i="4" l="1"/>
  <c r="E30" i="4" s="1"/>
  <c r="E13" i="8"/>
  <c r="E18" i="8" s="1"/>
  <c r="E20" i="2"/>
  <c r="E13" i="7"/>
  <c r="E18" i="7" s="1"/>
  <c r="E47" i="8"/>
  <c r="E52" i="8" s="1"/>
  <c r="E20" i="6"/>
  <c r="E25" i="2" l="1"/>
  <c r="E8" i="2"/>
  <c r="E25" i="6"/>
  <c r="E73" i="1"/>
  <c r="E8" i="6"/>
  <c r="E7" i="2"/>
  <c r="E97" i="1"/>
  <c r="E7" i="6"/>
  <c r="E10" i="4"/>
  <c r="E23" i="11" l="1"/>
  <c r="E49" i="1"/>
  <c r="E6" i="2"/>
  <c r="E70" i="1"/>
  <c r="E46" i="1"/>
  <c r="E91" i="1"/>
  <c r="E86" i="1"/>
  <c r="E6" i="6" l="1"/>
  <c r="E10" i="3"/>
  <c r="E48" i="1"/>
  <c r="E13" i="3"/>
  <c r="E24" i="11"/>
  <c r="E45" i="1"/>
  <c r="E13" i="4"/>
  <c r="E47" i="1"/>
  <c r="E26" i="11"/>
  <c r="E101" i="1"/>
  <c r="E6" i="3" l="1"/>
  <c r="E50" i="1"/>
  <c r="E6" i="4"/>
  <c r="D13" i="8" l="1"/>
  <c r="D18" i="8" s="1"/>
  <c r="D47" i="8"/>
  <c r="D52" i="8" s="1"/>
  <c r="D20" i="6" l="1"/>
  <c r="D30" i="4"/>
  <c r="D13" i="7"/>
  <c r="D18" i="7" s="1"/>
  <c r="D20" i="2"/>
  <c r="D25" i="2" s="1"/>
  <c r="D25" i="6" l="1"/>
  <c r="D7" i="6"/>
  <c r="I7" i="6" s="1"/>
  <c r="D10" i="3"/>
  <c r="I10" i="3" s="1"/>
  <c r="D10" i="4"/>
  <c r="I10" i="4" s="1"/>
  <c r="D8" i="6"/>
  <c r="D7" i="2"/>
  <c r="I7" i="2" s="1"/>
  <c r="I11" i="4" l="1"/>
  <c r="D13" i="4"/>
  <c r="D6" i="3" l="1"/>
  <c r="I6" i="3" s="1"/>
  <c r="D6" i="4"/>
  <c r="I6" i="4" s="1"/>
  <c r="D8" i="2" l="1"/>
  <c r="D6" i="2" l="1"/>
  <c r="I6" i="2" l="1"/>
  <c r="B47" i="8"/>
  <c r="B52" i="8" s="1"/>
  <c r="C20" i="2"/>
  <c r="C25" i="2" s="1"/>
  <c r="C7" i="2" l="1"/>
  <c r="C13" i="7"/>
  <c r="C18" i="7" s="1"/>
  <c r="C25" i="4"/>
  <c r="C30" i="4" s="1"/>
  <c r="C47" i="8"/>
  <c r="C52" i="8" s="1"/>
  <c r="C13" i="8"/>
  <c r="C18" i="8" s="1"/>
  <c r="C20" i="6"/>
  <c r="C25" i="6" l="1"/>
  <c r="C7" i="6"/>
  <c r="C10" i="4"/>
  <c r="C10" i="3" l="1"/>
  <c r="C6" i="6" l="1"/>
  <c r="C8" i="6"/>
  <c r="C8" i="2"/>
  <c r="C6" i="4" l="1"/>
  <c r="C6" i="2"/>
  <c r="C13" i="4"/>
  <c r="C13" i="3" l="1"/>
  <c r="C6" i="3" l="1"/>
  <c r="B13" i="7" l="1"/>
  <c r="B18" i="7" s="1"/>
  <c r="B20" i="6"/>
  <c r="B25" i="6" s="1"/>
  <c r="B13" i="8" l="1"/>
  <c r="B18" i="8" s="1"/>
  <c r="B20" i="2"/>
  <c r="B25" i="2" s="1"/>
  <c r="B25" i="4"/>
  <c r="B30" i="4" s="1"/>
  <c r="B7" i="6"/>
  <c r="B30" i="3"/>
  <c r="B10" i="3" l="1"/>
  <c r="B10" i="4"/>
  <c r="B7" i="2"/>
  <c r="B8" i="6"/>
  <c r="B8" i="2" l="1"/>
  <c r="B13" i="4"/>
  <c r="B6" i="6"/>
  <c r="B6" i="4" l="1"/>
  <c r="B6" i="2"/>
  <c r="B13" i="3"/>
  <c r="B6" i="3" l="1"/>
  <c r="C23" i="11" l="1"/>
  <c r="C73" i="1"/>
  <c r="C46" i="1" s="1"/>
  <c r="B97" i="1"/>
  <c r="B49" i="1" s="1"/>
  <c r="B73" i="1"/>
  <c r="B46" i="1" s="1"/>
  <c r="B23" i="11"/>
  <c r="B86" i="1"/>
  <c r="B47" i="1" l="1"/>
  <c r="B26" i="11"/>
  <c r="B91" i="1"/>
  <c r="B48" i="1" s="1"/>
  <c r="B41" i="1"/>
  <c r="C91" i="1"/>
  <c r="C48" i="1" s="1"/>
  <c r="C97" i="1"/>
  <c r="C49" i="1" s="1"/>
  <c r="C41" i="1"/>
  <c r="C86" i="1"/>
  <c r="C101" i="1"/>
  <c r="C50" i="1" s="1"/>
  <c r="C70" i="1"/>
  <c r="B70" i="1"/>
  <c r="B45" i="1" l="1"/>
  <c r="B24" i="11"/>
  <c r="D91" i="1"/>
  <c r="D23" i="11"/>
  <c r="I23" i="11" s="1"/>
  <c r="C45" i="1"/>
  <c r="C24" i="11"/>
  <c r="D97" i="1"/>
  <c r="C47" i="1"/>
  <c r="C26" i="11"/>
  <c r="D49" i="1" l="1"/>
  <c r="L49" i="1" s="1"/>
  <c r="M49" i="1" s="1"/>
  <c r="D73" i="1"/>
  <c r="D70" i="1"/>
  <c r="D48" i="1"/>
  <c r="L48" i="1" s="1"/>
  <c r="M48" i="1" s="1"/>
  <c r="D86" i="1"/>
  <c r="D26" i="11" l="1"/>
  <c r="I26" i="11" s="1"/>
  <c r="D47" i="1"/>
  <c r="L47" i="1" s="1"/>
  <c r="M47" i="1" s="1"/>
  <c r="D101" i="1"/>
  <c r="D6" i="6"/>
  <c r="I6" i="6" s="1"/>
  <c r="D24" i="11"/>
  <c r="I24" i="11" s="1"/>
  <c r="D45" i="1"/>
  <c r="L45" i="1" s="1"/>
  <c r="M45" i="1" s="1"/>
  <c r="D46" i="1"/>
  <c r="L46" i="1" s="1"/>
  <c r="M46" i="1" s="1"/>
  <c r="D50" i="1" l="1"/>
  <c r="L50" i="1" s="1"/>
  <c r="M50" i="1" s="1"/>
  <c r="B101" i="1" l="1"/>
  <c r="B50" i="1" s="1"/>
  <c r="C42" i="1" l="1"/>
  <c r="C43" i="1" s="1"/>
  <c r="C51" i="1" s="1"/>
  <c r="C63" i="1"/>
  <c r="B63" i="1"/>
  <c r="B42" i="1"/>
  <c r="B43" i="1" s="1"/>
  <c r="B51" i="1" s="1"/>
  <c r="B102" i="1" l="1"/>
  <c r="B22" i="11"/>
  <c r="C102" i="1"/>
  <c r="C22" i="11"/>
  <c r="B8" i="11" l="1"/>
  <c r="B8" i="1"/>
  <c r="B107" i="1"/>
  <c r="C8" i="11"/>
  <c r="C107" i="1"/>
  <c r="C8" i="1"/>
  <c r="C7" i="11" l="1"/>
  <c r="C7" i="1"/>
  <c r="B7" i="1"/>
  <c r="B7" i="11"/>
  <c r="F12" i="4" l="1"/>
  <c r="F11" i="4"/>
  <c r="E12" i="3" l="1"/>
  <c r="E11" i="3"/>
  <c r="E11" i="4" l="1"/>
  <c r="E12" i="4"/>
  <c r="C27" i="11" l="1"/>
  <c r="C34" i="1" s="1"/>
  <c r="B27" i="11"/>
  <c r="B34" i="1" s="1"/>
  <c r="D11" i="4" l="1"/>
  <c r="D12" i="4"/>
  <c r="D11" i="3" l="1"/>
  <c r="D12" i="3"/>
  <c r="C11" i="3" l="1"/>
  <c r="C12" i="3"/>
  <c r="B11" i="3" l="1"/>
  <c r="B12" i="3"/>
  <c r="C11" i="4" l="1"/>
  <c r="C12" i="4"/>
  <c r="B11" i="4" l="1"/>
  <c r="B12" i="4"/>
  <c r="D9" i="1" l="1"/>
  <c r="D10" i="1" l="1"/>
  <c r="F9" i="1" l="1"/>
  <c r="F10" i="1" l="1"/>
  <c r="C32" i="11" l="1"/>
  <c r="C35" i="1" s="1"/>
  <c r="B32" i="11"/>
  <c r="B35" i="1" s="1"/>
  <c r="B9" i="1" l="1"/>
  <c r="B10" i="1"/>
  <c r="C10" i="1" l="1"/>
  <c r="C9" i="1"/>
  <c r="F10" i="9" l="1"/>
  <c r="B10" i="9"/>
  <c r="E29" i="1"/>
  <c r="D10" i="9" l="1"/>
  <c r="F43" i="13" l="1"/>
  <c r="F32" i="13" l="1"/>
  <c r="D43" i="13" l="1"/>
  <c r="D32" i="13" l="1"/>
  <c r="F42" i="16" l="1"/>
  <c r="F44" i="16" s="1"/>
  <c r="E42" i="16"/>
  <c r="E44" i="16" s="1"/>
  <c r="C16" i="17" l="1"/>
  <c r="C20" i="17" s="1"/>
  <c r="C26" i="17" s="1"/>
  <c r="E16" i="17" l="1"/>
  <c r="E20" i="17" s="1"/>
  <c r="E26" i="17" s="1"/>
  <c r="D16" i="17"/>
  <c r="D20" i="17" s="1"/>
  <c r="D26" i="17" s="1"/>
  <c r="B16" i="17"/>
  <c r="B20" i="17" s="1"/>
  <c r="B26" i="17" s="1"/>
  <c r="E34" i="16" l="1"/>
  <c r="E36" i="16" s="1"/>
  <c r="D41" i="11"/>
  <c r="D43" i="11"/>
  <c r="E22" i="16"/>
  <c r="E24" i="16" s="1"/>
  <c r="F34" i="16"/>
  <c r="F36" i="16" s="1"/>
  <c r="F16" i="17"/>
  <c r="F20" i="17" s="1"/>
  <c r="F26" i="17" s="1"/>
  <c r="D42" i="11"/>
  <c r="D44" i="11"/>
  <c r="E37" i="16" l="1"/>
  <c r="F18" i="11"/>
  <c r="F19" i="1" s="1"/>
  <c r="F20" i="11"/>
  <c r="F21" i="1" s="1"/>
  <c r="F19" i="11"/>
  <c r="F20" i="1" s="1"/>
  <c r="D29" i="1" l="1"/>
  <c r="D31" i="1" s="1"/>
  <c r="D32" i="1" s="1"/>
  <c r="C29" i="1" l="1"/>
  <c r="B31" i="1" l="1"/>
  <c r="B32" i="1" s="1"/>
  <c r="C31" i="1" l="1"/>
  <c r="C32" i="1" s="1"/>
  <c r="B27" i="1"/>
  <c r="C27" i="1" l="1"/>
  <c r="F29" i="1" l="1"/>
  <c r="F31" i="1" l="1"/>
  <c r="F32" i="1" l="1"/>
  <c r="B19" i="11" l="1"/>
  <c r="B20" i="1" s="1"/>
  <c r="B17" i="11"/>
  <c r="B18" i="1" s="1"/>
  <c r="B16" i="11"/>
  <c r="B17" i="1" s="1"/>
  <c r="B18" i="11"/>
  <c r="B19" i="1" s="1"/>
  <c r="B20" i="11"/>
  <c r="B21" i="1" s="1"/>
  <c r="C17" i="11" l="1"/>
  <c r="C18" i="1" s="1"/>
  <c r="C16" i="11"/>
  <c r="C17" i="1" s="1"/>
  <c r="C20" i="11"/>
  <c r="C21" i="1" s="1"/>
  <c r="C19" i="11"/>
  <c r="C20" i="1" s="1"/>
  <c r="C18" i="11"/>
  <c r="C19" i="1" s="1"/>
  <c r="D19" i="11" l="1"/>
  <c r="D20" i="1" s="1"/>
  <c r="D18" i="11"/>
  <c r="D19" i="1" s="1"/>
  <c r="D20" i="11"/>
  <c r="D21" i="1" s="1"/>
  <c r="F17" i="13" l="1"/>
  <c r="F44" i="13" s="1"/>
  <c r="D17" i="13" l="1"/>
  <c r="D44" i="13" s="1"/>
  <c r="E18" i="11" l="1"/>
  <c r="E19" i="1" s="1"/>
  <c r="E9" i="1"/>
  <c r="I9" i="1" s="1"/>
  <c r="E19" i="11"/>
  <c r="E20" i="1" s="1"/>
  <c r="E21" i="1" l="1"/>
  <c r="E10" i="1"/>
  <c r="I10" i="1" s="1"/>
  <c r="E32" i="13" l="1"/>
  <c r="E17" i="13"/>
  <c r="E43" i="13" l="1"/>
  <c r="E44" i="13" s="1"/>
  <c r="B43" i="13" l="1"/>
  <c r="B32" i="13" l="1"/>
  <c r="B17" i="13"/>
  <c r="B44" i="13" l="1"/>
  <c r="B49" i="13" s="1"/>
  <c r="C45" i="13" s="1"/>
  <c r="C32" i="13"/>
  <c r="C43" i="13"/>
  <c r="C17" i="13"/>
  <c r="C44" i="13" l="1"/>
  <c r="C49" i="13" s="1"/>
  <c r="D45" i="13" s="1"/>
  <c r="D49" i="13" s="1"/>
  <c r="E45" i="13" s="1"/>
  <c r="E49" i="13" l="1"/>
  <c r="F45" i="13" s="1"/>
  <c r="F49" i="13" s="1"/>
  <c r="G45" i="13" s="1"/>
  <c r="F22" i="16" l="1"/>
  <c r="F24" i="16" s="1"/>
  <c r="F37" i="16" s="1"/>
  <c r="D42" i="16" l="1"/>
  <c r="D44" i="16" s="1"/>
  <c r="D22" i="16" l="1"/>
  <c r="D24" i="16" s="1"/>
  <c r="D34" i="16"/>
  <c r="D36" i="16" s="1"/>
  <c r="C42" i="16" l="1"/>
  <c r="C44" i="16" s="1"/>
  <c r="D37" i="16"/>
  <c r="C34" i="16" l="1"/>
  <c r="C36" i="16" s="1"/>
  <c r="C22" i="16" l="1"/>
  <c r="C24" i="16" s="1"/>
  <c r="C37" i="16" s="1"/>
  <c r="B22" i="16" l="1"/>
  <c r="B24" i="16" s="1"/>
  <c r="B42" i="16"/>
  <c r="B44" i="16" s="1"/>
  <c r="E10" i="9" l="1"/>
  <c r="C10" i="9" l="1"/>
  <c r="E25" i="12" l="1"/>
  <c r="F19" i="12" s="1"/>
  <c r="F25" i="12" s="1"/>
  <c r="G19" i="12" s="1"/>
  <c r="G25" i="12" s="1"/>
  <c r="C13" i="12"/>
  <c r="D7" i="12" s="1"/>
  <c r="D13" i="12" s="1"/>
  <c r="E7" i="12" s="1"/>
  <c r="E13" i="12" s="1"/>
  <c r="F7" i="12" s="1"/>
  <c r="F13" i="12" s="1"/>
  <c r="G7" i="12" s="1"/>
  <c r="G13" i="12" s="1"/>
  <c r="F9" i="4" l="1"/>
  <c r="F9" i="3"/>
  <c r="F9" i="5" l="1"/>
  <c r="F15" i="1"/>
  <c r="E9" i="5" l="1"/>
  <c r="I9" i="5" s="1"/>
  <c r="E9" i="4" l="1"/>
  <c r="F7" i="5" l="1"/>
  <c r="E7" i="5"/>
  <c r="I7" i="5" s="1"/>
  <c r="D9" i="4" l="1"/>
  <c r="I9" i="4" s="1"/>
  <c r="E9" i="3"/>
  <c r="D9" i="3" l="1"/>
  <c r="I9" i="3" s="1"/>
  <c r="C9" i="4"/>
  <c r="C9" i="3" l="1"/>
  <c r="C15" i="1" l="1"/>
  <c r="B9" i="4" l="1"/>
  <c r="B9" i="3" l="1"/>
  <c r="B7" i="4" l="1"/>
  <c r="C7" i="4" l="1"/>
  <c r="B7" i="3" l="1"/>
  <c r="D7" i="4"/>
  <c r="E7" i="4" l="1"/>
  <c r="I7" i="4" s="1"/>
  <c r="F7" i="4"/>
  <c r="C7" i="3" l="1"/>
  <c r="D7" i="3" l="1"/>
  <c r="F7" i="3" l="1"/>
  <c r="E7" i="3"/>
  <c r="I7" i="3" s="1"/>
  <c r="B34" i="16" l="1"/>
  <c r="B36" i="16" s="1"/>
  <c r="B37" i="16" s="1"/>
  <c r="J22" i="4" l="1"/>
  <c r="L22" i="4" s="1"/>
  <c r="M22" i="4" s="1"/>
  <c r="J15" i="6" l="1"/>
  <c r="L15" i="6" l="1"/>
  <c r="M15" i="6" s="1"/>
  <c r="J15" i="2" l="1"/>
  <c r="L15" i="2" l="1"/>
  <c r="M15" i="2" s="1"/>
  <c r="D29" i="9" l="1"/>
  <c r="D31" i="9" s="1"/>
  <c r="F29" i="9" l="1"/>
  <c r="F31" i="9" s="1"/>
  <c r="B29" i="9" l="1"/>
  <c r="B31" i="9" s="1"/>
  <c r="J12" i="11" l="1"/>
  <c r="G12" i="11" l="1"/>
  <c r="L14" i="1" l="1"/>
  <c r="M14" i="1" s="1"/>
  <c r="L8" i="4"/>
  <c r="M8" i="4" s="1"/>
  <c r="E29" i="9" l="1"/>
  <c r="E31" i="9" s="1"/>
  <c r="C29" i="9" l="1"/>
  <c r="C31" i="9" s="1"/>
  <c r="G22" i="16" l="1"/>
  <c r="G24" i="16" s="1"/>
  <c r="G37" i="16" s="1"/>
  <c r="C11" i="19" l="1"/>
  <c r="C12" i="19"/>
  <c r="C8" i="19" l="1"/>
  <c r="C13" i="19" s="1"/>
  <c r="B13" i="19"/>
  <c r="C16" i="19"/>
  <c r="C17" i="19" l="1"/>
  <c r="C15" i="19" l="1"/>
  <c r="C18" i="19" s="1"/>
  <c r="B18" i="19"/>
  <c r="G9" i="4" l="1"/>
  <c r="J9" i="4" s="1"/>
  <c r="L9" i="4" s="1"/>
  <c r="M9" i="4" s="1"/>
  <c r="G9" i="3"/>
  <c r="J9" i="3" s="1"/>
  <c r="L9" i="3" s="1"/>
  <c r="M9" i="3" s="1"/>
  <c r="G9" i="5" l="1"/>
  <c r="G15" i="1"/>
  <c r="J15" i="1" s="1"/>
  <c r="J9" i="5" l="1"/>
  <c r="L9" i="5" s="1"/>
  <c r="M9" i="5" s="1"/>
  <c r="G10" i="1" l="1"/>
  <c r="J10" i="1" s="1"/>
  <c r="L10" i="1" s="1"/>
  <c r="M10" i="1" s="1"/>
  <c r="J10" i="11"/>
  <c r="J20" i="11" s="1"/>
  <c r="J21" i="1" s="1"/>
  <c r="L21" i="1" s="1"/>
  <c r="M21" i="1" s="1"/>
  <c r="G20" i="11"/>
  <c r="G21" i="1" s="1"/>
  <c r="G9" i="1" l="1"/>
  <c r="J9" i="1" s="1"/>
  <c r="L9" i="1" s="1"/>
  <c r="M9" i="1" s="1"/>
  <c r="J9" i="11"/>
  <c r="G18" i="11"/>
  <c r="G19" i="1" s="1"/>
  <c r="G19" i="11"/>
  <c r="G20" i="1" s="1"/>
  <c r="J19" i="11" l="1"/>
  <c r="J20" i="1" s="1"/>
  <c r="L20" i="1" s="1"/>
  <c r="M20" i="1" s="1"/>
  <c r="J18" i="11"/>
  <c r="J19" i="1" s="1"/>
  <c r="L19" i="1" s="1"/>
  <c r="M19" i="1" s="1"/>
  <c r="G32" i="13" l="1"/>
  <c r="G43" i="13"/>
  <c r="G17" i="13" l="1"/>
  <c r="G44" i="13" s="1"/>
  <c r="G49" i="13" s="1"/>
  <c r="E15" i="1" l="1"/>
  <c r="D15" i="1" l="1"/>
  <c r="I15" i="1" s="1"/>
  <c r="L15" i="1" s="1"/>
  <c r="M15" i="1" s="1"/>
  <c r="G7" i="5" l="1"/>
  <c r="J7" i="5" s="1"/>
  <c r="L7" i="5" s="1"/>
  <c r="M7" i="5" s="1"/>
  <c r="B15" i="1" l="1"/>
  <c r="B12" i="1" l="1"/>
  <c r="B13" i="1"/>
  <c r="J66" i="1" l="1"/>
  <c r="L66" i="1" s="1"/>
  <c r="M66" i="1" s="1"/>
  <c r="G7" i="4" l="1"/>
  <c r="J7" i="4" s="1"/>
  <c r="L7" i="4" s="1"/>
  <c r="M7" i="4" s="1"/>
  <c r="C13" i="1" l="1"/>
  <c r="C12" i="1"/>
  <c r="J23" i="6" l="1"/>
  <c r="L23" i="6" s="1"/>
  <c r="M23" i="6" s="1"/>
  <c r="J23" i="4"/>
  <c r="L23" i="4" s="1"/>
  <c r="M23" i="4" s="1"/>
  <c r="J22" i="5"/>
  <c r="J18" i="6"/>
  <c r="J10" i="7"/>
  <c r="L10" i="7" s="1"/>
  <c r="J11" i="7"/>
  <c r="L11" i="7" s="1"/>
  <c r="J23" i="5"/>
  <c r="L23" i="5" s="1"/>
  <c r="M23" i="5" s="1"/>
  <c r="J17" i="6"/>
  <c r="L17" i="6" s="1"/>
  <c r="M17" i="6" s="1"/>
  <c r="J9" i="7"/>
  <c r="J12" i="7"/>
  <c r="L12" i="7" s="1"/>
  <c r="J16" i="7"/>
  <c r="L16" i="7" s="1"/>
  <c r="J21" i="5"/>
  <c r="L21" i="5" s="1"/>
  <c r="M21" i="5" s="1"/>
  <c r="J24" i="5"/>
  <c r="L24" i="5" s="1"/>
  <c r="J19" i="6"/>
  <c r="L19" i="6" s="1"/>
  <c r="J21" i="4"/>
  <c r="L21" i="4" s="1"/>
  <c r="M21" i="4" s="1"/>
  <c r="J24" i="4"/>
  <c r="L24" i="4" s="1"/>
  <c r="J28" i="4"/>
  <c r="L28" i="4" s="1"/>
  <c r="J99" i="1" l="1"/>
  <c r="G25" i="5"/>
  <c r="L9" i="7"/>
  <c r="M9" i="7" s="1"/>
  <c r="G13" i="7"/>
  <c r="J8" i="7"/>
  <c r="J28" i="5"/>
  <c r="L28" i="5" s="1"/>
  <c r="G40" i="5"/>
  <c r="J40" i="5" s="1"/>
  <c r="L40" i="5" s="1"/>
  <c r="L18" i="6"/>
  <c r="M18" i="6" s="1"/>
  <c r="J81" i="1"/>
  <c r="L81" i="1" s="1"/>
  <c r="M81" i="1" s="1"/>
  <c r="J78" i="1"/>
  <c r="L78" i="1" s="1"/>
  <c r="M78" i="1" s="1"/>
  <c r="J77" i="1"/>
  <c r="J24" i="3"/>
  <c r="L24" i="3" s="1"/>
  <c r="M24" i="3" s="1"/>
  <c r="J20" i="4"/>
  <c r="G25" i="4"/>
  <c r="G40" i="2"/>
  <c r="J40" i="2" s="1"/>
  <c r="L40" i="2" s="1"/>
  <c r="M40" i="2" s="1"/>
  <c r="J23" i="2"/>
  <c r="L23" i="2" s="1"/>
  <c r="M23" i="2" s="1"/>
  <c r="G35" i="2"/>
  <c r="J35" i="2" s="1"/>
  <c r="L35" i="2" s="1"/>
  <c r="M35" i="2" s="1"/>
  <c r="J18" i="2"/>
  <c r="L18" i="2" s="1"/>
  <c r="M18" i="2" s="1"/>
  <c r="G36" i="2"/>
  <c r="J36" i="2" s="1"/>
  <c r="L36" i="2" s="1"/>
  <c r="J19" i="2"/>
  <c r="L19" i="2" s="1"/>
  <c r="G33" i="2"/>
  <c r="J16" i="2"/>
  <c r="G20" i="2"/>
  <c r="J16" i="6"/>
  <c r="G20" i="6"/>
  <c r="G34" i="2"/>
  <c r="J34" i="2" s="1"/>
  <c r="J17" i="2"/>
  <c r="L17" i="2" s="1"/>
  <c r="M17" i="2" s="1"/>
  <c r="F42" i="1"/>
  <c r="F25" i="5"/>
  <c r="J20" i="5"/>
  <c r="J79" i="1"/>
  <c r="L79" i="1" s="1"/>
  <c r="M79" i="1" s="1"/>
  <c r="J89" i="1"/>
  <c r="L89" i="1" s="1"/>
  <c r="M89" i="1" s="1"/>
  <c r="J96" i="1"/>
  <c r="L96" i="1" s="1"/>
  <c r="M96" i="1" s="1"/>
  <c r="J82" i="1"/>
  <c r="L82" i="1" s="1"/>
  <c r="M82" i="1" s="1"/>
  <c r="J84" i="1"/>
  <c r="L84" i="1" s="1"/>
  <c r="M84" i="1" s="1"/>
  <c r="J67" i="1"/>
  <c r="L67" i="1" s="1"/>
  <c r="M67" i="1" s="1"/>
  <c r="J65" i="1"/>
  <c r="L65" i="1" s="1"/>
  <c r="M65" i="1" s="1"/>
  <c r="J95" i="1"/>
  <c r="L95" i="1" s="1"/>
  <c r="M95" i="1" s="1"/>
  <c r="J68" i="1"/>
  <c r="L68" i="1" s="1"/>
  <c r="M68" i="1" s="1"/>
  <c r="J80" i="1"/>
  <c r="L80" i="1" s="1"/>
  <c r="M80" i="1" s="1"/>
  <c r="J83" i="1"/>
  <c r="L83" i="1" s="1"/>
  <c r="M83" i="1" s="1"/>
  <c r="J17" i="7"/>
  <c r="L17" i="7" s="1"/>
  <c r="M17" i="7" s="1"/>
  <c r="J15" i="7"/>
  <c r="L15" i="7" s="1"/>
  <c r="M15" i="7" s="1"/>
  <c r="J24" i="6"/>
  <c r="L24" i="6" s="1"/>
  <c r="M24" i="6" s="1"/>
  <c r="J22" i="6"/>
  <c r="J27" i="4"/>
  <c r="L27" i="4" s="1"/>
  <c r="J28" i="3"/>
  <c r="L28" i="3" s="1"/>
  <c r="G41" i="2" l="1"/>
  <c r="J41" i="2" s="1"/>
  <c r="L41" i="2" s="1"/>
  <c r="M41" i="2" s="1"/>
  <c r="J24" i="2"/>
  <c r="L24" i="2" s="1"/>
  <c r="M24" i="2" s="1"/>
  <c r="G8" i="2"/>
  <c r="G73" i="1"/>
  <c r="G46" i="1" s="1"/>
  <c r="J59" i="1"/>
  <c r="L59" i="1" s="1"/>
  <c r="M59" i="1" s="1"/>
  <c r="J29" i="4"/>
  <c r="G13" i="4"/>
  <c r="G39" i="2"/>
  <c r="J39" i="2" s="1"/>
  <c r="L39" i="2" s="1"/>
  <c r="M39" i="2" s="1"/>
  <c r="J22" i="2"/>
  <c r="L22" i="2" s="1"/>
  <c r="M22" i="2" s="1"/>
  <c r="J27" i="5"/>
  <c r="L27" i="5" s="1"/>
  <c r="M27" i="5" s="1"/>
  <c r="G39" i="5"/>
  <c r="J39" i="5" s="1"/>
  <c r="J25" i="5"/>
  <c r="J22" i="3"/>
  <c r="G8" i="6"/>
  <c r="G7" i="6"/>
  <c r="J7" i="6" s="1"/>
  <c r="L7" i="6" s="1"/>
  <c r="M7" i="6" s="1"/>
  <c r="G25" i="6"/>
  <c r="G6" i="6" s="1"/>
  <c r="J6" i="6" s="1"/>
  <c r="L6" i="6" s="1"/>
  <c r="M6" i="6" s="1"/>
  <c r="G7" i="2"/>
  <c r="J7" i="2" s="1"/>
  <c r="L7" i="2" s="1"/>
  <c r="M7" i="2" s="1"/>
  <c r="G25" i="2"/>
  <c r="G6" i="2" s="1"/>
  <c r="J6" i="2" s="1"/>
  <c r="L6" i="2" s="1"/>
  <c r="M6" i="2" s="1"/>
  <c r="J33" i="2"/>
  <c r="G37" i="2"/>
  <c r="G42" i="2" s="1"/>
  <c r="J25" i="4"/>
  <c r="L20" i="4"/>
  <c r="M20" i="4" s="1"/>
  <c r="L77" i="1"/>
  <c r="M77" i="1" s="1"/>
  <c r="G18" i="7"/>
  <c r="J23" i="3"/>
  <c r="L23" i="3" s="1"/>
  <c r="M23" i="3" s="1"/>
  <c r="L22" i="6"/>
  <c r="M22" i="6" s="1"/>
  <c r="G13" i="5"/>
  <c r="J29" i="5"/>
  <c r="G41" i="5"/>
  <c r="J41" i="5" s="1"/>
  <c r="L41" i="5" s="1"/>
  <c r="M41" i="5" s="1"/>
  <c r="J62" i="1"/>
  <c r="L62" i="1" s="1"/>
  <c r="M62" i="1" s="1"/>
  <c r="G23" i="11"/>
  <c r="J23" i="11" s="1"/>
  <c r="J90" i="1"/>
  <c r="L90" i="1" s="1"/>
  <c r="M90" i="1" s="1"/>
  <c r="J88" i="1"/>
  <c r="G91" i="1"/>
  <c r="G48" i="1" s="1"/>
  <c r="F30" i="5"/>
  <c r="F6" i="5" s="1"/>
  <c r="F12" i="5"/>
  <c r="F37" i="5"/>
  <c r="F13" i="5"/>
  <c r="F10" i="5"/>
  <c r="L34" i="2"/>
  <c r="M34" i="2" s="1"/>
  <c r="L16" i="6"/>
  <c r="M16" i="6" s="1"/>
  <c r="J20" i="6"/>
  <c r="L16" i="2"/>
  <c r="M16" i="2" s="1"/>
  <c r="J20" i="2"/>
  <c r="G10" i="4"/>
  <c r="G30" i="4"/>
  <c r="G6" i="4" s="1"/>
  <c r="J6" i="4" s="1"/>
  <c r="L6" i="4" s="1"/>
  <c r="M6" i="4" s="1"/>
  <c r="G12" i="4"/>
  <c r="J20" i="3"/>
  <c r="G25" i="3"/>
  <c r="L8" i="7"/>
  <c r="J13" i="7"/>
  <c r="G12" i="5"/>
  <c r="G37" i="5"/>
  <c r="G42" i="5" s="1"/>
  <c r="G10" i="5"/>
  <c r="G11" i="5" s="1"/>
  <c r="G30" i="5"/>
  <c r="G6" i="5" s="1"/>
  <c r="J6" i="5" s="1"/>
  <c r="L99" i="1"/>
  <c r="M99" i="1" s="1"/>
  <c r="J72" i="1"/>
  <c r="D12" i="1"/>
  <c r="D13" i="1"/>
  <c r="G7" i="3"/>
  <c r="J7" i="3" s="1"/>
  <c r="J61" i="1"/>
  <c r="L61" i="1" s="1"/>
  <c r="M61" i="1" s="1"/>
  <c r="J27" i="3"/>
  <c r="L27" i="3" s="1"/>
  <c r="J18" i="7" l="1"/>
  <c r="L13" i="7"/>
  <c r="M13" i="7" s="1"/>
  <c r="J8" i="2"/>
  <c r="L8" i="2" s="1"/>
  <c r="M8" i="2" s="1"/>
  <c r="L20" i="2"/>
  <c r="M20" i="2" s="1"/>
  <c r="J25" i="2"/>
  <c r="L25" i="2" s="1"/>
  <c r="M25" i="2" s="1"/>
  <c r="J8" i="6"/>
  <c r="L8" i="6" s="1"/>
  <c r="M8" i="6" s="1"/>
  <c r="J25" i="6"/>
  <c r="L25" i="6" s="1"/>
  <c r="M25" i="6" s="1"/>
  <c r="L20" i="6"/>
  <c r="M20" i="6" s="1"/>
  <c r="J30" i="4"/>
  <c r="L30" i="4" s="1"/>
  <c r="M30" i="4" s="1"/>
  <c r="L25" i="4"/>
  <c r="M25" i="4" s="1"/>
  <c r="J12" i="4"/>
  <c r="L12" i="4" s="1"/>
  <c r="M12" i="4" s="1"/>
  <c r="L33" i="2"/>
  <c r="M33" i="2" s="1"/>
  <c r="J37" i="2"/>
  <c r="J12" i="5"/>
  <c r="J30" i="5"/>
  <c r="F41" i="1"/>
  <c r="F43" i="1" s="1"/>
  <c r="F63" i="1"/>
  <c r="L29" i="4"/>
  <c r="M29" i="4" s="1"/>
  <c r="J13" i="4"/>
  <c r="L13" i="4" s="1"/>
  <c r="M13" i="4" s="1"/>
  <c r="J100" i="1"/>
  <c r="G101" i="1"/>
  <c r="G50" i="1" s="1"/>
  <c r="G10" i="3"/>
  <c r="J10" i="4"/>
  <c r="G11" i="4"/>
  <c r="F11" i="5"/>
  <c r="J10" i="5"/>
  <c r="F42" i="5"/>
  <c r="J37" i="5"/>
  <c r="L88" i="1"/>
  <c r="M88" i="1" s="1"/>
  <c r="J91" i="1"/>
  <c r="J13" i="5"/>
  <c r="L29" i="5"/>
  <c r="M29" i="5" s="1"/>
  <c r="J93" i="1"/>
  <c r="G97" i="1"/>
  <c r="G49" i="1" s="1"/>
  <c r="L39" i="5"/>
  <c r="M39" i="5" s="1"/>
  <c r="J21" i="3"/>
  <c r="J25" i="3" s="1"/>
  <c r="L7" i="3"/>
  <c r="M7" i="3" s="1"/>
  <c r="J73" i="1"/>
  <c r="L72" i="1"/>
  <c r="M72" i="1" s="1"/>
  <c r="J69" i="1"/>
  <c r="G70" i="1"/>
  <c r="J60" i="1"/>
  <c r="G42" i="1"/>
  <c r="G63" i="1"/>
  <c r="G41" i="1"/>
  <c r="G43" i="1" s="1"/>
  <c r="J58" i="1"/>
  <c r="G12" i="3"/>
  <c r="L91" i="1" l="1"/>
  <c r="M91" i="1" s="1"/>
  <c r="J48" i="1"/>
  <c r="L37" i="5"/>
  <c r="M37" i="5" s="1"/>
  <c r="J42" i="5"/>
  <c r="L42" i="5" s="1"/>
  <c r="M42" i="5" s="1"/>
  <c r="J11" i="5"/>
  <c r="G30" i="3"/>
  <c r="G6" i="3" s="1"/>
  <c r="J6" i="3" s="1"/>
  <c r="L6" i="3" s="1"/>
  <c r="M6" i="3" s="1"/>
  <c r="L100" i="1"/>
  <c r="M100" i="1" s="1"/>
  <c r="J101" i="1"/>
  <c r="F22" i="11"/>
  <c r="F27" i="11" s="1"/>
  <c r="F34" i="1" s="1"/>
  <c r="F102" i="1"/>
  <c r="J42" i="2"/>
  <c r="L42" i="2" s="1"/>
  <c r="M42" i="2" s="1"/>
  <c r="L37" i="2"/>
  <c r="M37" i="2" s="1"/>
  <c r="L18" i="7"/>
  <c r="M18" i="7" s="1"/>
  <c r="J85" i="1"/>
  <c r="G86" i="1"/>
  <c r="G102" i="1" s="1"/>
  <c r="G13" i="3"/>
  <c r="J29" i="3"/>
  <c r="L21" i="3"/>
  <c r="M21" i="3" s="1"/>
  <c r="J97" i="1"/>
  <c r="L93" i="1"/>
  <c r="M93" i="1" s="1"/>
  <c r="L10" i="4"/>
  <c r="M10" i="4" s="1"/>
  <c r="J11" i="4"/>
  <c r="L11" i="4" s="1"/>
  <c r="M11" i="4" s="1"/>
  <c r="G11" i="3"/>
  <c r="J10" i="3"/>
  <c r="F51" i="1"/>
  <c r="J46" i="1"/>
  <c r="L73" i="1"/>
  <c r="M73" i="1" s="1"/>
  <c r="G45" i="1"/>
  <c r="G24" i="11"/>
  <c r="J24" i="11" s="1"/>
  <c r="L69" i="1"/>
  <c r="M69" i="1" s="1"/>
  <c r="J70" i="1"/>
  <c r="J42" i="1"/>
  <c r="J41" i="1"/>
  <c r="J63" i="1"/>
  <c r="G22" i="11"/>
  <c r="L85" i="1" l="1"/>
  <c r="M85" i="1" s="1"/>
  <c r="J86" i="1"/>
  <c r="F107" i="1"/>
  <c r="F8" i="11"/>
  <c r="F17" i="11" s="1"/>
  <c r="F18" i="1" s="1"/>
  <c r="F8" i="1"/>
  <c r="J50" i="1"/>
  <c r="L101" i="1"/>
  <c r="M101" i="1" s="1"/>
  <c r="J11" i="3"/>
  <c r="L11" i="3" s="1"/>
  <c r="M11" i="3" s="1"/>
  <c r="L10" i="3"/>
  <c r="M10" i="3" s="1"/>
  <c r="L97" i="1"/>
  <c r="M97" i="1" s="1"/>
  <c r="J49" i="1"/>
  <c r="J13" i="3"/>
  <c r="L29" i="3"/>
  <c r="M29" i="3" s="1"/>
  <c r="G47" i="1"/>
  <c r="G51" i="1" s="1"/>
  <c r="G26" i="11"/>
  <c r="J26" i="11" s="1"/>
  <c r="J30" i="3"/>
  <c r="J12" i="3"/>
  <c r="L70" i="1"/>
  <c r="M70" i="1" s="1"/>
  <c r="J45" i="1"/>
  <c r="G107" i="1"/>
  <c r="G8" i="11"/>
  <c r="G8" i="1"/>
  <c r="J8" i="1" s="1"/>
  <c r="J22" i="11"/>
  <c r="J102" i="1"/>
  <c r="J43" i="1"/>
  <c r="J27" i="11" l="1"/>
  <c r="J34" i="1" s="1"/>
  <c r="J47" i="1"/>
  <c r="L86" i="1"/>
  <c r="M86" i="1" s="1"/>
  <c r="J51" i="1"/>
  <c r="G27" i="11"/>
  <c r="G34" i="1" s="1"/>
  <c r="F7" i="11"/>
  <c r="F7" i="1"/>
  <c r="F27" i="1" s="1"/>
  <c r="J107" i="1"/>
  <c r="J8" i="11"/>
  <c r="J17" i="11" s="1"/>
  <c r="J18" i="1" s="1"/>
  <c r="G17" i="11"/>
  <c r="G18" i="1" s="1"/>
  <c r="G7" i="1"/>
  <c r="G7" i="11"/>
  <c r="E12" i="1"/>
  <c r="I12" i="1" s="1"/>
  <c r="E13" i="1"/>
  <c r="I13" i="1" s="1"/>
  <c r="F16" i="11" l="1"/>
  <c r="F17" i="1" s="1"/>
  <c r="F32" i="11"/>
  <c r="F35" i="1" s="1"/>
  <c r="J7" i="11"/>
  <c r="G32" i="11"/>
  <c r="G35" i="1" s="1"/>
  <c r="G16" i="11"/>
  <c r="G17" i="1" s="1"/>
  <c r="G27" i="1"/>
  <c r="J7" i="1"/>
  <c r="J27" i="1" l="1"/>
  <c r="J32" i="11"/>
  <c r="J35" i="1" s="1"/>
  <c r="J16" i="11"/>
  <c r="J17" i="1" s="1"/>
  <c r="F12" i="1" l="1"/>
  <c r="F13" i="1"/>
  <c r="G12" i="1" l="1"/>
  <c r="J12" i="1" s="1"/>
  <c r="L12" i="1" s="1"/>
  <c r="M12" i="1" s="1"/>
  <c r="G13" i="1"/>
  <c r="J13" i="1" s="1"/>
  <c r="L13" i="1" s="1"/>
  <c r="M13" i="1" s="1"/>
  <c r="I22" i="5" l="1"/>
  <c r="L22" i="5" l="1"/>
  <c r="M22" i="5" s="1"/>
  <c r="I20" i="5"/>
  <c r="E25" i="5"/>
  <c r="E30" i="5" l="1"/>
  <c r="E6" i="5" s="1"/>
  <c r="I6" i="5" s="1"/>
  <c r="L6" i="5" s="1"/>
  <c r="M6" i="5" s="1"/>
  <c r="E10" i="5"/>
  <c r="E13" i="5"/>
  <c r="E12" i="5"/>
  <c r="I25" i="5"/>
  <c r="L20" i="5"/>
  <c r="M20" i="5" s="1"/>
  <c r="I10" i="5" l="1"/>
  <c r="E11" i="5"/>
  <c r="I13" i="5"/>
  <c r="L13" i="5" s="1"/>
  <c r="M13" i="5" s="1"/>
  <c r="I12" i="5"/>
  <c r="L12" i="5" s="1"/>
  <c r="M12" i="5" s="1"/>
  <c r="I30" i="5"/>
  <c r="L30" i="5" s="1"/>
  <c r="M30" i="5" s="1"/>
  <c r="L25" i="5"/>
  <c r="M25" i="5" s="1"/>
  <c r="I11" i="5" l="1"/>
  <c r="L10" i="5"/>
  <c r="M10" i="5" s="1"/>
  <c r="L11" i="5" l="1"/>
  <c r="M11" i="5"/>
  <c r="E42" i="1" l="1"/>
  <c r="E41" i="1" l="1"/>
  <c r="E43" i="1" s="1"/>
  <c r="E51" i="1" s="1"/>
  <c r="E63" i="1"/>
  <c r="E102" i="1" l="1"/>
  <c r="E22" i="11"/>
  <c r="E27" i="11" s="1"/>
  <c r="E34" i="1" s="1"/>
  <c r="E8" i="1" l="1"/>
  <c r="E8" i="11"/>
  <c r="E17" i="11" s="1"/>
  <c r="E18" i="1" s="1"/>
  <c r="E107" i="1"/>
  <c r="E7" i="11" l="1"/>
  <c r="E7" i="1"/>
  <c r="E27" i="1" s="1"/>
  <c r="E32" i="11" l="1"/>
  <c r="E35" i="1" s="1"/>
  <c r="E16" i="11"/>
  <c r="E17" i="1" s="1"/>
  <c r="I22" i="3" l="1"/>
  <c r="I20" i="3"/>
  <c r="L22" i="3" l="1"/>
  <c r="M22" i="3" s="1"/>
  <c r="I25" i="3"/>
  <c r="L20" i="3"/>
  <c r="M20" i="3" s="1"/>
  <c r="I12" i="3" l="1"/>
  <c r="L12" i="3" s="1"/>
  <c r="M12" i="3" s="1"/>
  <c r="I13" i="3"/>
  <c r="I30" i="3"/>
  <c r="L30" i="3" s="1"/>
  <c r="M30" i="3" s="1"/>
  <c r="L25" i="3"/>
  <c r="M25" i="3" s="1"/>
  <c r="L13" i="3" l="1"/>
  <c r="M13" i="3" s="1"/>
  <c r="I58" i="1" l="1"/>
  <c r="D41" i="1"/>
  <c r="I60" i="1" l="1"/>
  <c r="D42" i="1"/>
  <c r="L42" i="1" s="1"/>
  <c r="D63" i="1"/>
  <c r="I41" i="1"/>
  <c r="L58" i="1"/>
  <c r="M58" i="1" s="1"/>
  <c r="L41" i="1" l="1"/>
  <c r="M41" i="1" s="1"/>
  <c r="D22" i="11"/>
  <c r="D102" i="1"/>
  <c r="I42" i="1"/>
  <c r="I43" i="1" s="1"/>
  <c r="I51" i="1" s="1"/>
  <c r="L60" i="1"/>
  <c r="M60" i="1" s="1"/>
  <c r="I63" i="1"/>
  <c r="D43" i="1"/>
  <c r="M42" i="1" l="1"/>
  <c r="D8" i="11"/>
  <c r="D8" i="1"/>
  <c r="I8" i="1" s="1"/>
  <c r="L8" i="1" s="1"/>
  <c r="M8" i="1" s="1"/>
  <c r="D107" i="1"/>
  <c r="D51" i="1"/>
  <c r="L51" i="1" s="1"/>
  <c r="M51" i="1" s="1"/>
  <c r="L43" i="1"/>
  <c r="M43" i="1" s="1"/>
  <c r="I102" i="1"/>
  <c r="L63" i="1"/>
  <c r="M63" i="1" s="1"/>
  <c r="I22" i="11"/>
  <c r="I27" i="11" s="1"/>
  <c r="I34" i="1" s="1"/>
  <c r="L34" i="1" s="1"/>
  <c r="M34" i="1" s="1"/>
  <c r="D27" i="11"/>
  <c r="D34" i="1" s="1"/>
  <c r="I107" i="1" l="1"/>
  <c r="L107" i="1" s="1"/>
  <c r="M107" i="1" s="1"/>
  <c r="L102" i="1"/>
  <c r="M102" i="1" s="1"/>
  <c r="D7" i="11"/>
  <c r="D7" i="1"/>
  <c r="D17" i="11"/>
  <c r="D18" i="1" s="1"/>
  <c r="I8" i="11"/>
  <c r="I17" i="11" s="1"/>
  <c r="I18" i="1" s="1"/>
  <c r="L18" i="1" s="1"/>
  <c r="M18" i="1" s="1"/>
  <c r="I7" i="1" l="1"/>
  <c r="D27" i="1"/>
  <c r="I7" i="11"/>
  <c r="D32" i="11"/>
  <c r="D35" i="1" s="1"/>
  <c r="D16" i="11"/>
  <c r="D17" i="1" s="1"/>
  <c r="I32" i="11" l="1"/>
  <c r="I35" i="1" s="1"/>
  <c r="L35" i="1" s="1"/>
  <c r="M35" i="1" s="1"/>
  <c r="I16" i="11"/>
  <c r="I17" i="1" s="1"/>
  <c r="L17" i="1" s="1"/>
  <c r="M17" i="1" s="1"/>
  <c r="I27" i="1"/>
  <c r="L27" i="1" s="1"/>
  <c r="M27" i="1" s="1"/>
  <c r="L7" i="1"/>
  <c r="M7" i="1" s="1"/>
</calcChain>
</file>

<file path=xl/sharedStrings.xml><?xml version="1.0" encoding="utf-8"?>
<sst xmlns="http://schemas.openxmlformats.org/spreadsheetml/2006/main" count="1160" uniqueCount="362">
  <si>
    <t>IOOF Holdings Limited</t>
  </si>
  <si>
    <t>Gross Margin</t>
  </si>
  <si>
    <t>Management and Service fees revenue</t>
  </si>
  <si>
    <t>Other Fee Revenue</t>
  </si>
  <si>
    <t>Service and Marketing fees expense</t>
  </si>
  <si>
    <t>Other Direct Costs</t>
  </si>
  <si>
    <t>Amortisation of deferred acquisition costs</t>
  </si>
  <si>
    <t>Total Gross Margin</t>
  </si>
  <si>
    <t>Other Revenue</t>
  </si>
  <si>
    <t>Stockbroking revenue</t>
  </si>
  <si>
    <t>Stockbroking service fees</t>
  </si>
  <si>
    <t>Dividends and distributions received</t>
  </si>
  <si>
    <t>Net fair value gains/(losses) on other financial assets at fair value through profit or loss</t>
  </si>
  <si>
    <t>Other revenue</t>
  </si>
  <si>
    <t>Total Other Revenue</t>
  </si>
  <si>
    <t>Equity Accounted Profits</t>
  </si>
  <si>
    <t>Share of profits of associates and jointly controlled entities accounted for using the equity method</t>
  </si>
  <si>
    <t>Total Equity Accounted Profits</t>
  </si>
  <si>
    <t>Operating Expenditure</t>
  </si>
  <si>
    <t>Salaries and related employee expenses</t>
  </si>
  <si>
    <t>Employee defined contribution plan expense</t>
  </si>
  <si>
    <t>Information technology costs</t>
  </si>
  <si>
    <t>Professional fees</t>
  </si>
  <si>
    <t>Marketing</t>
  </si>
  <si>
    <t>Office support and administration</t>
  </si>
  <si>
    <t>Occupancy related expenses</t>
  </si>
  <si>
    <t>Travel and entertainment</t>
  </si>
  <si>
    <t>Other</t>
  </si>
  <si>
    <t>Total Operating Expenditure</t>
  </si>
  <si>
    <t>Net non cash (Ex. Amortisation from acquisitions)</t>
  </si>
  <si>
    <t>Share based payments expense</t>
  </si>
  <si>
    <t>Depreciation of property, plant and equipment</t>
  </si>
  <si>
    <t>Amortisation of intangible assets - IT development</t>
  </si>
  <si>
    <t>Total Net non cash (Ex. Amortisation from acquisitions)</t>
  </si>
  <si>
    <t>Net Interest</t>
  </si>
  <si>
    <t>Interest income on loans to directors of controlled and associated entities</t>
  </si>
  <si>
    <t>Interest income from non-related entities</t>
  </si>
  <si>
    <t>Finance Costs</t>
  </si>
  <si>
    <t>Total Net Interest</t>
  </si>
  <si>
    <t>Income Tax &amp; NCI</t>
  </si>
  <si>
    <t>Non-controlling Interest</t>
  </si>
  <si>
    <t>Income tax expense</t>
  </si>
  <si>
    <t>Total Income Tax &amp; NCI</t>
  </si>
  <si>
    <t>Underlying NPAT excluding Discontinued Operations</t>
  </si>
  <si>
    <t>Discontinued Operations - Corporate Trust</t>
  </si>
  <si>
    <t>Discontinued Operations - Ord Minnett</t>
  </si>
  <si>
    <t>Discontinued Operations - IOOF NZ</t>
  </si>
  <si>
    <t>Discontinued Operations - PVM</t>
  </si>
  <si>
    <t>Underlying NPAT (pre-amortisation of intangible assets)</t>
  </si>
  <si>
    <t>1H19</t>
  </si>
  <si>
    <t>2H19</t>
  </si>
  <si>
    <t>1H20</t>
  </si>
  <si>
    <t>2H20</t>
  </si>
  <si>
    <t>1H21</t>
  </si>
  <si>
    <t>$m</t>
  </si>
  <si>
    <t>%</t>
  </si>
  <si>
    <t>Group Result - Key Measures</t>
  </si>
  <si>
    <t>Statutory NPAT ($m)</t>
  </si>
  <si>
    <t>Statutory NPAT (Continuing Operations) ($m)</t>
  </si>
  <si>
    <t>Basic EPS (cents per share)</t>
  </si>
  <si>
    <t>Diluted EPS (cents per share)</t>
  </si>
  <si>
    <t>Basic EPS (Continuing Operations) (cents per share)</t>
  </si>
  <si>
    <t>UNPAT ($m)</t>
  </si>
  <si>
    <t>UNPAT (Continuing Operations) ($m)</t>
  </si>
  <si>
    <t>NPAT</t>
  </si>
  <si>
    <t>EPS</t>
  </si>
  <si>
    <t>UNPAT EPS (cents per share)</t>
  </si>
  <si>
    <t>UNPAT EPS (Continuing Operations) (cents per share)</t>
  </si>
  <si>
    <t>Dividends</t>
  </si>
  <si>
    <t>Share Price</t>
  </si>
  <si>
    <t>Opening share price</t>
  </si>
  <si>
    <t>Closing share price</t>
  </si>
  <si>
    <t>Ratios</t>
  </si>
  <si>
    <t>Cost to income</t>
  </si>
  <si>
    <t>Return on equity</t>
  </si>
  <si>
    <t>FUMA</t>
  </si>
  <si>
    <t>Underlying Group Result - P&amp;L Detail</t>
  </si>
  <si>
    <t>Closing FUMA ($b)</t>
  </si>
  <si>
    <t>Average FUMA ($b)</t>
  </si>
  <si>
    <t>Gross margin</t>
  </si>
  <si>
    <t>Net flows ($b)</t>
  </si>
  <si>
    <t>Gross margin ($m)</t>
  </si>
  <si>
    <t>Net operating margin</t>
  </si>
  <si>
    <t>Financial Advice and Distribution - Key Measures</t>
  </si>
  <si>
    <t>Portfolio and Estate Administration - Key Measures</t>
  </si>
  <si>
    <t>Investment Management - Key Measures</t>
  </si>
  <si>
    <t>Ex-ANZ Pensions and Investments - Key Measures</t>
  </si>
  <si>
    <t>Ex-ANZ Wealth Management - Key Measures</t>
  </si>
  <si>
    <t>Pensions</t>
  </si>
  <si>
    <t>Market/Other</t>
  </si>
  <si>
    <t>Early Release of Super</t>
  </si>
  <si>
    <t>Net Flow</t>
  </si>
  <si>
    <t>Opening Balance</t>
  </si>
  <si>
    <t>Closing Balance</t>
  </si>
  <si>
    <t>1Q19</t>
  </si>
  <si>
    <t>2Q19</t>
  </si>
  <si>
    <t>3Q19</t>
  </si>
  <si>
    <t>4Q19</t>
  </si>
  <si>
    <t>1Q20</t>
  </si>
  <si>
    <t>2Q20</t>
  </si>
  <si>
    <t>3Q20</t>
  </si>
  <si>
    <t>4Q20</t>
  </si>
  <si>
    <t>1Q21</t>
  </si>
  <si>
    <t>2Q21</t>
  </si>
  <si>
    <t>FUMA - Portfolio and Estate Administration</t>
  </si>
  <si>
    <t>FUMA - Investment Management</t>
  </si>
  <si>
    <t>FUMA - Ex-ANZ Pensions and Investments - Platform</t>
  </si>
  <si>
    <t>FUMA - Ex-ANZ Pensions and Investments - Investment Management</t>
  </si>
  <si>
    <t>Statement of Cash Flows</t>
  </si>
  <si>
    <t>Corporate Balance Sheet</t>
  </si>
  <si>
    <t>Cash flows from operating activities</t>
  </si>
  <si>
    <t>Payments to suppliers and employees</t>
  </si>
  <si>
    <t>Receipts from customers</t>
  </si>
  <si>
    <t>Dividends from associates</t>
  </si>
  <si>
    <t>Remediation costs</t>
  </si>
  <si>
    <t>Coupon interest received on debt note</t>
  </si>
  <si>
    <t>Income taxes paid</t>
  </si>
  <si>
    <t>Net cash flows from operating activities</t>
  </si>
  <si>
    <t>Cash flows from investing activities</t>
  </si>
  <si>
    <t>Interest received</t>
  </si>
  <si>
    <t>Interest and other costs of finance paid</t>
  </si>
  <si>
    <t>Redemption/(purchase) of debt note</t>
  </si>
  <si>
    <t>Acquisition of subsidiary, net of cash acquired</t>
  </si>
  <si>
    <t>Receipt of deferred purchase consideration</t>
  </si>
  <si>
    <t>Net proceeds from/(payment for) swaps</t>
  </si>
  <si>
    <t>Payments for property and equipment</t>
  </si>
  <si>
    <t>Payments for intangible assets</t>
  </si>
  <si>
    <t>Repayment of loan principal (related parties)</t>
  </si>
  <si>
    <t>Net cash flows from investing activities</t>
  </si>
  <si>
    <t>Cash flows from financing activities</t>
  </si>
  <si>
    <t>Purchase of treasury shares</t>
  </si>
  <si>
    <t>Dividends paid - members of the Company</t>
  </si>
  <si>
    <t>Dividends paid - non-controlling members of subsidiary entities</t>
  </si>
  <si>
    <t>Net cash flows from financing activities</t>
  </si>
  <si>
    <t>Net cash flow</t>
  </si>
  <si>
    <t>Opening cash position</t>
  </si>
  <si>
    <t>Effects of exchange rate changes on cash and cash equivalents</t>
  </si>
  <si>
    <t>Reclassification to assets held for sale</t>
  </si>
  <si>
    <t>Closing cash position</t>
  </si>
  <si>
    <t>Total shareholder return</t>
  </si>
  <si>
    <t>Revenue</t>
  </si>
  <si>
    <t>Direct Costs</t>
  </si>
  <si>
    <t>Share of equity profit/loss</t>
  </si>
  <si>
    <t>Net Non-cash</t>
  </si>
  <si>
    <t>UNPAT</t>
  </si>
  <si>
    <t>Income Tax Expense/Non-controlling Interest</t>
  </si>
  <si>
    <t>Provisions utilised</t>
  </si>
  <si>
    <t>Provisions acquired</t>
  </si>
  <si>
    <t>Statutory NPAT reconciliation</t>
  </si>
  <si>
    <t>Discontinued operations</t>
  </si>
  <si>
    <t>Profit/(Loss) from continuing operations attributable to Owners of the Company</t>
  </si>
  <si>
    <t>Underlying net profit after tax pre-amortisation (UNPAT) adjustments:</t>
  </si>
  <si>
    <t>Amortisation of intangible assets</t>
  </si>
  <si>
    <t>Termination payments</t>
  </si>
  <si>
    <t>Non-recurring professional fees paid</t>
  </si>
  <si>
    <t>Unwind of deferred tax liability recorded on intangible assets</t>
  </si>
  <si>
    <t>Impairment of goodwill and investment</t>
  </si>
  <si>
    <t>Governance uplift costs</t>
  </si>
  <si>
    <t>Income tax attributable</t>
  </si>
  <si>
    <t>UNPAT from continuing operations</t>
  </si>
  <si>
    <t>UNPAT from discontinued operations</t>
  </si>
  <si>
    <t>Assets</t>
  </si>
  <si>
    <t>Cash</t>
  </si>
  <si>
    <t>Receivables</t>
  </si>
  <si>
    <t>Debt note</t>
  </si>
  <si>
    <t>Other financial assets</t>
  </si>
  <si>
    <t>Current tax assets</t>
  </si>
  <si>
    <t>Prepayments</t>
  </si>
  <si>
    <t>Deferred acquisition costs</t>
  </si>
  <si>
    <t>Associates</t>
  </si>
  <si>
    <t>Property and equipment</t>
  </si>
  <si>
    <t>Deferred tax assets</t>
  </si>
  <si>
    <t>Intangible assets</t>
  </si>
  <si>
    <t>Goodwill</t>
  </si>
  <si>
    <t>Assets classified as held for sale</t>
  </si>
  <si>
    <t>Total assets</t>
  </si>
  <si>
    <t>Liabilities</t>
  </si>
  <si>
    <t>Payables</t>
  </si>
  <si>
    <t>Other financial liabilities</t>
  </si>
  <si>
    <t>Provisions</t>
  </si>
  <si>
    <t>Deferred tax liabilities</t>
  </si>
  <si>
    <t>Deferred revenue liability</t>
  </si>
  <si>
    <t>Lease incentives</t>
  </si>
  <si>
    <t>Liabilities directly associated with assets classified as held for sale</t>
  </si>
  <si>
    <t>Total liabilities</t>
  </si>
  <si>
    <t>Net assets</t>
  </si>
  <si>
    <t>Equity</t>
  </si>
  <si>
    <t>Share capital</t>
  </si>
  <si>
    <t>Reserves</t>
  </si>
  <si>
    <t>Accumulated losses</t>
  </si>
  <si>
    <t>Total equity attributable to equity holders of the Company</t>
  </si>
  <si>
    <t>Non-controlling interest</t>
  </si>
  <si>
    <t>Total equity</t>
  </si>
  <si>
    <t>Segment Asset Allocations</t>
  </si>
  <si>
    <t>Australian Equities</t>
  </si>
  <si>
    <t>Fixed Interest/Cash</t>
  </si>
  <si>
    <t>International Equities</t>
  </si>
  <si>
    <t>Property</t>
  </si>
  <si>
    <t>Portfolio and Estate Administration</t>
  </si>
  <si>
    <t>Investment Management</t>
  </si>
  <si>
    <t>Ex-ANZ Pensions and Investments - Platform</t>
  </si>
  <si>
    <t>Ex-ANZ Pensions and Investments - Investment Management</t>
  </si>
  <si>
    <t>Weighted average shares on issue</t>
  </si>
  <si>
    <t>Weighted average treasury shares on issue</t>
  </si>
  <si>
    <t>Weighted average performance rights</t>
  </si>
  <si>
    <t>Statutory NPAT (continuing operations) ($m)</t>
  </si>
  <si>
    <t>UNPAT (continuing operations) ($m)</t>
  </si>
  <si>
    <t>Shares</t>
  </si>
  <si>
    <t>Earnings</t>
  </si>
  <si>
    <t>UNPAT EPS (continuing operations) (cents per share)</t>
  </si>
  <si>
    <t>Basic EPS (continuing operations) (cents per share)</t>
  </si>
  <si>
    <t>Shares on issue</t>
  </si>
  <si>
    <t>From</t>
  </si>
  <si>
    <t>To</t>
  </si>
  <si>
    <t>Days</t>
  </si>
  <si>
    <t>Cash and Debt Facilities</t>
  </si>
  <si>
    <t>Debt Facilities</t>
  </si>
  <si>
    <t>Ratios and other indicators</t>
  </si>
  <si>
    <t>Corporate cash ($m)</t>
  </si>
  <si>
    <t>Restricted cash (ORFR) ($m)</t>
  </si>
  <si>
    <t>Drawn senior debt ($m)</t>
  </si>
  <si>
    <t>Senior funding headroom ($m)</t>
  </si>
  <si>
    <t>Ex-ANZ Pensions and Investments - Historical Unaudited Proforma Information</t>
  </si>
  <si>
    <t>Unaudited</t>
  </si>
  <si>
    <t>Reported</t>
  </si>
  <si>
    <r>
      <t>2H20</t>
    </r>
    <r>
      <rPr>
        <b/>
        <i/>
        <vertAlign val="superscript"/>
        <sz val="10"/>
        <color theme="1"/>
        <rFont val="Arial"/>
        <family val="2"/>
      </rPr>
      <t>1</t>
    </r>
  </si>
  <si>
    <r>
      <rPr>
        <vertAlign val="superscript"/>
        <sz val="8"/>
        <color theme="1"/>
        <rFont val="Arial"/>
        <family val="2"/>
      </rPr>
      <t>1</t>
    </r>
    <r>
      <rPr>
        <sz val="8"/>
        <color theme="1"/>
        <rFont val="Arial"/>
        <family val="2"/>
      </rPr>
      <t>Proforma result for six month period (IOOF ownership for the 5 months post-31 January 2020)</t>
    </r>
  </si>
  <si>
    <t>Excludes balances relating to the statutory benefit funds</t>
  </si>
  <si>
    <t>Excludes cash flows relating to the statutory benefit funds</t>
  </si>
  <si>
    <t>Payout ratio</t>
  </si>
  <si>
    <t>Payments made</t>
  </si>
  <si>
    <t>Program costs</t>
  </si>
  <si>
    <t>FUMA - Discontinued Operations - IOOF NZ</t>
  </si>
  <si>
    <t>FUMA - Group (Continuing Operations)</t>
  </si>
  <si>
    <t>Reclass from Funds Under Supervision</t>
  </si>
  <si>
    <t>Acquired FUMA</t>
  </si>
  <si>
    <t>Divested FUMA</t>
  </si>
  <si>
    <t>Certificates of deposit</t>
  </si>
  <si>
    <t>Current tax liabilities</t>
  </si>
  <si>
    <t>Net legal settlements</t>
  </si>
  <si>
    <t>Net proceeds on divestment of subsidiaries</t>
  </si>
  <si>
    <t>Proceeds from issue of shares</t>
  </si>
  <si>
    <t>Transaction costs of issuing new shares</t>
  </si>
  <si>
    <t>Return of capital to non-controlling interest</t>
  </si>
  <si>
    <t>Cash classified in assets held for sale at the beginning of the period</t>
  </si>
  <si>
    <t>Provisions made/(reversed)</t>
  </si>
  <si>
    <t>Australian Fixed Interest</t>
  </si>
  <si>
    <t>International Fixed Interest</t>
  </si>
  <si>
    <t>Closing FUMA (Continuing Operations) ($b)</t>
  </si>
  <si>
    <t>Average FUMA (Continuing Operations) ($b)</t>
  </si>
  <si>
    <t>Net Flows (Continuing Operations) ($b)</t>
  </si>
  <si>
    <t>Total shareholder return (%)</t>
  </si>
  <si>
    <t>Ratio Calculations</t>
  </si>
  <si>
    <t>ANZ coupon interest</t>
  </si>
  <si>
    <t>Add back amortisation of deferred acquisition costs</t>
  </si>
  <si>
    <t>Operating expenditure</t>
  </si>
  <si>
    <t>Average equity ($m)</t>
  </si>
  <si>
    <t>Days in period</t>
  </si>
  <si>
    <t>Days in year</t>
  </si>
  <si>
    <t>Operating Expenditure incl Corporate Recharge</t>
  </si>
  <si>
    <r>
      <rPr>
        <i/>
        <sz val="10"/>
        <color theme="1"/>
        <rFont val="Arial"/>
        <family val="2"/>
      </rPr>
      <t>Add</t>
    </r>
    <r>
      <rPr>
        <sz val="10"/>
        <color theme="1"/>
        <rFont val="Arial"/>
        <family val="2"/>
      </rPr>
      <t xml:space="preserve"> bank guarantees</t>
    </r>
  </si>
  <si>
    <r>
      <rPr>
        <i/>
        <sz val="10"/>
        <color theme="1"/>
        <rFont val="Arial"/>
        <family val="2"/>
      </rPr>
      <t>Add</t>
    </r>
    <r>
      <rPr>
        <sz val="10"/>
        <color theme="1"/>
        <rFont val="Arial"/>
        <family val="2"/>
      </rPr>
      <t xml:space="preserve"> deferred asset purchase consideration greater than 90 days</t>
    </r>
  </si>
  <si>
    <t>Financial Advice and Distribution - P&amp;L</t>
  </si>
  <si>
    <t>Portfolio and Estate Administration - P&amp;L</t>
  </si>
  <si>
    <t>Investment Management - P&amp;L</t>
  </si>
  <si>
    <t>Ex-ANZ Pensions and Investments - P&amp;L</t>
  </si>
  <si>
    <t>Ex-ANZ Wealth Management - P&amp;L</t>
  </si>
  <si>
    <t>Corporate and Other - P&amp;L</t>
  </si>
  <si>
    <t>Discontinued Operations - Corporate Trust - P&amp;L</t>
  </si>
  <si>
    <t>Other SFA adjustments</t>
  </si>
  <si>
    <t>Bridge to SFA defined net debt</t>
  </si>
  <si>
    <r>
      <rPr>
        <i/>
        <sz val="10"/>
        <color theme="1"/>
        <rFont val="Arial"/>
        <family val="2"/>
      </rPr>
      <t>Excl</t>
    </r>
    <r>
      <rPr>
        <sz val="10"/>
        <color theme="1"/>
        <rFont val="Arial"/>
        <family val="2"/>
      </rPr>
      <t xml:space="preserve"> non-guarantor cash</t>
    </r>
  </si>
  <si>
    <t>Discontinued Operations - IOOF NZ - P&amp;L</t>
  </si>
  <si>
    <t>Discontinued Operations - Ord Minnett - P&amp;L</t>
  </si>
  <si>
    <t>Discontinued Operations - Perennial Value Management - P&amp;L</t>
  </si>
  <si>
    <t>Underlying Group Result - P&amp;L Summary (Continuing Operations)</t>
  </si>
  <si>
    <t>Segment EBITDA</t>
  </si>
  <si>
    <t>Segment EBITDA ($m)</t>
  </si>
  <si>
    <t>Divested April 2020</t>
  </si>
  <si>
    <t>Divested November 2018</t>
  </si>
  <si>
    <t>Divested September 2019</t>
  </si>
  <si>
    <t>Divested October 2019</t>
  </si>
  <si>
    <t>Ordinary dividends declared (cents per share)</t>
  </si>
  <si>
    <t>Special dividends declared (cents per share)</t>
  </si>
  <si>
    <t>BT settlement income</t>
  </si>
  <si>
    <t>Legal provision</t>
  </si>
  <si>
    <t>Advice 2.0 costs</t>
  </si>
  <si>
    <t>Evolve costs</t>
  </si>
  <si>
    <t>Proceeds from divestment of/(payments for) financial assets</t>
  </si>
  <si>
    <t>Drawdown of borrowings</t>
  </si>
  <si>
    <t>Repayment of borrowings</t>
  </si>
  <si>
    <t>Ordinary dividends declared ($m)</t>
  </si>
  <si>
    <t>Special dividends declared ($m)</t>
  </si>
  <si>
    <r>
      <t>Total debt facilities ($m)</t>
    </r>
    <r>
      <rPr>
        <vertAlign val="superscript"/>
        <sz val="10"/>
        <color theme="1"/>
        <rFont val="Arial"/>
        <family val="2"/>
      </rPr>
      <t>1</t>
    </r>
  </si>
  <si>
    <r>
      <rPr>
        <vertAlign val="superscript"/>
        <sz val="8"/>
        <color theme="1"/>
        <rFont val="Arial"/>
        <family val="2"/>
      </rPr>
      <t>1</t>
    </r>
    <r>
      <rPr>
        <sz val="8"/>
        <color theme="1"/>
        <rFont val="Arial"/>
        <family val="2"/>
      </rPr>
      <t>Revolving cash advance facilities only, excludes multi-option facility</t>
    </r>
  </si>
  <si>
    <t>Closing FUAdm ($b)</t>
  </si>
  <si>
    <t>Average FUAdm ($b)</t>
  </si>
  <si>
    <t>Closing FUM ($b)</t>
  </si>
  <si>
    <t>Average FUM ($b)</t>
  </si>
  <si>
    <t>Cash and cash equivalents</t>
  </si>
  <si>
    <t>Certificates of deposit ($m)</t>
  </si>
  <si>
    <t>IOOF Investor and Analyst Pack - Important Disclaimer</t>
  </si>
  <si>
    <t>1.4 times</t>
  </si>
  <si>
    <t>0.0 times</t>
  </si>
  <si>
    <t>1.3 times</t>
  </si>
  <si>
    <t>FY20</t>
  </si>
  <si>
    <t>FY21</t>
  </si>
  <si>
    <t>FY20 v FY21</t>
  </si>
  <si>
    <t>2H21</t>
  </si>
  <si>
    <t>Acquired 31 January 2020</t>
  </si>
  <si>
    <t>3Q21</t>
  </si>
  <si>
    <t>4Q21</t>
  </si>
  <si>
    <t>OnePath Trusts</t>
  </si>
  <si>
    <t>FUMA - MLC Retirement &amp; Investment Solutions</t>
  </si>
  <si>
    <t>FUMA - MLC Asset Management</t>
  </si>
  <si>
    <t>Remediation - Advice</t>
  </si>
  <si>
    <t>Remediation - Product</t>
  </si>
  <si>
    <t>Transformation and integration costs</t>
  </si>
  <si>
    <t>Unrealised loss on revaluation of embedded derivative</t>
  </si>
  <si>
    <t>Borrowings and lease liabilities</t>
  </si>
  <si>
    <t>Net defined benefit asset</t>
  </si>
  <si>
    <t>Non-recurring BT settlement fee</t>
  </si>
  <si>
    <t>Net proceeds from/(payment for) financial instruments</t>
  </si>
  <si>
    <t>Repayment of leasing liabilities</t>
  </si>
  <si>
    <t>0.6 times</t>
  </si>
  <si>
    <t>Senior net debt ($m)</t>
  </si>
  <si>
    <t>Simple senior net debt (above)</t>
  </si>
  <si>
    <t>MLC Retirement &amp; Investment Solutions</t>
  </si>
  <si>
    <t>MLC Asset Management</t>
  </si>
  <si>
    <t>MLC Advice contribution to Financial Advice and Distribution</t>
  </si>
  <si>
    <t>Acquired 31 May 2021</t>
  </si>
  <si>
    <t>June 2021</t>
  </si>
  <si>
    <t>EBITDA</t>
  </si>
  <si>
    <t>Financial Advice and Distribution ex-MLC - P&amp;L</t>
  </si>
  <si>
    <t>MLC - P&amp;L</t>
  </si>
  <si>
    <t>Operating segment</t>
  </si>
  <si>
    <t>incl MLC Advice</t>
  </si>
  <si>
    <t>MLC - Pro forma financial information</t>
  </si>
  <si>
    <t>MLC Advice</t>
  </si>
  <si>
    <t>Gross Margin ($m)</t>
  </si>
  <si>
    <t>EBITDA ($m)</t>
  </si>
  <si>
    <t>MLC Advice (employed) avg revenue per adviser ($m)</t>
  </si>
  <si>
    <t>MLC Advice (employed) avg ongoing advice fee ($)</t>
  </si>
  <si>
    <t>MLC Advice (employed) ongoing client #</t>
  </si>
  <si>
    <t>Operating expenditure ($m)</t>
  </si>
  <si>
    <t>GM (%)</t>
  </si>
  <si>
    <t>NOM (%)</t>
  </si>
  <si>
    <t>Average FUAdmin ($b)</t>
  </si>
  <si>
    <t>FUAdmin (Close) ($b)</t>
  </si>
  <si>
    <t>Net Flows (incl Early Release of Super) ($m)</t>
  </si>
  <si>
    <t>AUM (Close) ($b)</t>
  </si>
  <si>
    <t>Average AUM ($b)</t>
  </si>
  <si>
    <t>Net Flows ($m)</t>
  </si>
  <si>
    <t>Underlying Group Result - P&amp;L Detail (continued)</t>
  </si>
  <si>
    <r>
      <rPr>
        <b/>
        <sz val="10"/>
        <color theme="1"/>
        <rFont val="Arial"/>
        <family val="2"/>
      </rPr>
      <t>Important information</t>
    </r>
    <r>
      <rPr>
        <sz val="10"/>
        <color theme="1"/>
        <rFont val="Arial"/>
        <family val="2"/>
      </rPr>
      <t xml:space="preserve">
This analyst pack has been prepared by IOOF Holdings ABN 49 100 103 722 (IOOF). It is general information on IOOF and its subsidiaries (IOOF Group) current as at 26 August 2021.
It is in summary form and is not necessarily complete. It should be read together with the company's consolidated financial statements lodged with the ASX on 26 August 2021. Information and statements in this pack do not constitute investment advice or a recommendation in relation to IOOF or any product or service offered by IOOF or any of its subsidiaries and should not be relied upon for this purpose. Prior to making a decision in relation to IOOF’s securities, products or services, investors or clients and potential investors or clients should consider their own investment objectives , financial situation and needs and obtain professional advice.
The information in this presentation may include information contributed by third parties. The IOOF Group does not warrant the accuracy or completeness of any information contributed by a third party. No representation or warranty is made as to the accuracy, adequacy or reliability of any statements, estimates, opinions or other information contained in the presentation (any of which may change without notice). To the extent permitted by law, no liability is accepted for any loss or damage as a result of any reliance on this presentation. Past performance is not indicative of future performance.
This presentation contains forward looking statements, including statements regarding IOOF’s intent, objective, belief or current expectation relating to IOOF’s businesses and operations, market conditions or results of operations and financial condition, including any statements related to or affected by the ongoing impact of the COVID-19 pandemic and remediation programs. These are based on IOOF’s current expectations about future events and is subject to known and unknown risks and uncertainties, many of which are beyond the control of the IOOF Group. Actual events may differ materially from those contemplated in such forward looking statements and could cause actual results, performance or events to differ materially from those express or implied. Forward looking statements are not guarantees or representations about future performance and should not be relied upon as such.
IOOF does not undertake to update any forward-looking statement to reflect events or circumstances after the date of this presentation, subject to its regulatory and disclosure requirements.</t>
    </r>
  </si>
  <si>
    <t>Underlying net profit after tax pre amortisation (UNPAT) attributable to equity holders of IOOF reflect an assessment of the result for the ongoing business of the IOOF Group as determined by the Board and management. UNPAT has been calculated with regard to ASIC's Regulatory Guide 230 Disclosing non-IFRS financial information and the adjustments to NPAT are set out on pages 6 and 7 of the 30 June 2021 Annual Financial Report. UNPAT attributable to equity holders of IOOF has not been reviewed or audited by the Group's external auditors, however the adjustments to NPAT attributable to equity holders of IOOF have been extracted from the books and records that have been reviewed by the external auditor. UNPAT is disclosed as it is useful for investors to gain a better understanding of IOOF’s financial results from normal operating activities.
Nothing in this presentation should be construed as either an offer to sell or solicitation of an offer to buy or sell IOOF securities or units in any fund referred to in this presentation in any jurisdiction. The Product Disclosure Statement (PDS) for these funds are issued by members of the IOOF Group. The applicable PDS should be considered before deciding whether to acquire or hold units in a fund and can be obtained by calling 1800 913 118 or visiting our website www.ioof.com.au
All references to currency in this presentation are to Australian currency, unless otherwise stated. Certain figures may be subject to rounding differences.</t>
  </si>
  <si>
    <t>Profit/(Loss) attributable to Owners of the Company</t>
  </si>
  <si>
    <t>SFA defined senior leverage ratio</t>
  </si>
  <si>
    <t>SFA defined senior net debt</t>
  </si>
  <si>
    <t>Interest income on financial assets measured at fair value</t>
  </si>
  <si>
    <r>
      <t xml:space="preserve">Historical period restatements shown in </t>
    </r>
    <r>
      <rPr>
        <i/>
        <sz val="8"/>
        <color theme="1"/>
        <rFont val="Arial"/>
        <family val="2"/>
      </rPr>
      <t>italics</t>
    </r>
    <r>
      <rPr>
        <sz val="8"/>
        <color theme="1"/>
        <rFont val="Arial"/>
        <family val="2"/>
      </rPr>
      <t xml:space="preserve"> - restatements relate to change in treatment to show certain gross margin items on a net basis</t>
    </r>
  </si>
  <si>
    <r>
      <t xml:space="preserve">Historical period restatements shown in </t>
    </r>
    <r>
      <rPr>
        <i/>
        <sz val="8"/>
        <color theme="1"/>
        <rFont val="Arial"/>
        <family val="2"/>
      </rPr>
      <t>italics</t>
    </r>
    <r>
      <rPr>
        <sz val="8"/>
        <color theme="1"/>
        <rFont val="Arial"/>
        <family val="2"/>
      </rPr>
      <t xml:space="preserve"> - restatements relate to  removal of FUAdvice as a business metric</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</si>
</sst>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64" formatCode="_-* #,##0_-;\-* #,##0_-;_-* &quot;-&quot;??_-;_-@_-"/>
    <numFmt numFmtId="165" formatCode="_-* #,##0.0_-;\-* #,##0.0_-;_-* &quot;-&quot;??_-;_-@_-"/>
    <numFmt numFmtId="166" formatCode="#,##0.0%_);\(#,##0.0%\);\-\%_)"/>
    <numFmt numFmtId="167" formatCode="#,##0.0;\(#,##0.0\);\-\ \ "/>
    <numFmt numFmtId="168" formatCode="#,##0;\(#,##0\);\-\ \ "/>
    <numFmt numFmtId="169" formatCode="&quot;$&quot;#,##0.00;\(&quot;$&quot;#,##0.00\);\-\ \ "/>
    <numFmt numFmtId="170" formatCode="0.0%"/>
    <numFmt numFmtId="171" formatCode="0.000%"/>
    <numFmt numFmtId="172" formatCode="#,##0.00%_);\(#,##0.00%\);\-\%_)"/>
    <numFmt numFmtId="173" formatCode="#,##0.00;\(#,##0.00\);\-\ \ "/>
    <numFmt numFmtId="174" formatCode="#,##0.000;\(#,##0.000\);\-\ \ "/>
  </numFmts>
  <fonts count="19" x14ac:knownFonts="1">
    <font>
      <sz val="11"/>
      <color theme="1"/>
      <name val="Calibri"/>
      <family val="2"/>
      <scheme val="minor"/>
    </font>
    <font>
      <b/>
      <sz val="22"/>
      <color theme="0"/>
      <name val="Arial"/>
      <family val="2"/>
    </font>
    <font>
      <sz val="11"/>
      <color theme="1"/>
      <name val="Arial"/>
      <family val="2"/>
    </font>
    <font>
      <b/>
      <sz val="14"/>
      <color theme="0"/>
      <name val="Arial"/>
      <family val="2"/>
    </font>
    <font>
      <b/>
      <sz val="10"/>
      <color theme="1"/>
      <name val="Arial"/>
      <family val="2"/>
    </font>
    <font>
      <sz val="10"/>
      <color theme="1"/>
      <name val="Arial"/>
      <family val="2"/>
    </font>
    <font>
      <sz val="8"/>
      <name val="Calibri"/>
      <family val="2"/>
      <scheme val="minor"/>
    </font>
    <font>
      <sz val="10"/>
      <color rgb="FFFF0000"/>
      <name val="Arial"/>
      <family val="2"/>
    </font>
    <font>
      <b/>
      <i/>
      <sz val="10"/>
      <color theme="1"/>
      <name val="Arial"/>
      <family val="2"/>
    </font>
    <font>
      <sz val="11"/>
      <color theme="1"/>
      <name val="Calibri"/>
      <family val="2"/>
      <scheme val="minor"/>
    </font>
    <font>
      <sz val="8"/>
      <color theme="1"/>
      <name val="Arial"/>
      <family val="2"/>
    </font>
    <font>
      <b/>
      <i/>
      <vertAlign val="superscript"/>
      <sz val="10"/>
      <color theme="1"/>
      <name val="Arial"/>
      <family val="2"/>
    </font>
    <font>
      <vertAlign val="superscript"/>
      <sz val="8"/>
      <color theme="1"/>
      <name val="Arial"/>
      <family val="2"/>
    </font>
    <font>
      <sz val="8"/>
      <name val="Arial"/>
      <family val="2"/>
    </font>
    <font>
      <sz val="10"/>
      <color theme="1"/>
      <name val="Verdana"/>
      <family val="2"/>
    </font>
    <font>
      <i/>
      <sz val="10"/>
      <color theme="1"/>
      <name val="Arial"/>
      <family val="2"/>
    </font>
    <font>
      <vertAlign val="superscript"/>
      <sz val="10"/>
      <color theme="1"/>
      <name val="Arial"/>
      <family val="2"/>
    </font>
    <font>
      <b/>
      <sz val="8"/>
      <name val="Arial"/>
      <family val="2"/>
    </font>
    <font>
      <i/>
      <sz val="8"/>
      <color theme="1"/>
      <name val="Arial"/>
      <family val="2"/>
    </font>
  </fonts>
  <fills count="4">
    <fill>
      <patternFill patternType="none"/>
    </fill>
    <fill>
      <patternFill patternType="gray125"/>
    </fill>
    <fill>
      <patternFill patternType="solid">
        <fgColor rgb="FF84BA40"/>
        <bgColor indexed="64"/>
      </patternFill>
    </fill>
    <fill>
      <patternFill patternType="solid">
        <fgColor rgb="FF595A5C"/>
        <bgColor indexed="64"/>
      </patternFill>
    </fill>
  </fills>
  <borders count="11">
    <border>
      <left/>
      <right/>
      <top/>
      <bottom/>
      <diagonal/>
    </border>
    <border>
      <left/>
      <right/>
      <top/>
      <bottom style="medium">
        <color indexed="64"/>
      </bottom>
      <diagonal/>
    </border>
    <border>
      <left/>
      <right/>
      <top/>
      <bottom style="thin">
        <color indexed="64"/>
      </bottom>
      <diagonal/>
    </border>
    <border>
      <left/>
      <right/>
      <top style="thin">
        <color indexed="64"/>
      </top>
      <bottom style="double">
        <color indexed="64"/>
      </bottom>
      <diagonal/>
    </border>
    <border>
      <left/>
      <right/>
      <top style="thin">
        <color indexed="64"/>
      </top>
      <bottom style="medium">
        <color indexed="64"/>
      </bottom>
      <diagonal/>
    </border>
    <border>
      <left/>
      <right/>
      <top style="thin">
        <color indexed="64"/>
      </top>
      <bottom style="thin">
        <color indexed="64"/>
      </bottom>
      <diagonal/>
    </border>
    <border>
      <left/>
      <right/>
      <top/>
      <bottom style="double">
        <color indexed="64"/>
      </bottom>
      <diagonal/>
    </border>
    <border>
      <left style="thin">
        <color indexed="64"/>
      </left>
      <right/>
      <top/>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s>
  <cellStyleXfs count="5">
    <xf numFmtId="0" fontId="0" fillId="0" borderId="0"/>
    <xf numFmtId="43" fontId="9" fillId="0" borderId="0" applyFont="0" applyFill="0" applyBorder="0" applyAlignment="0" applyProtection="0"/>
    <xf numFmtId="9" fontId="9" fillId="0" borderId="0" applyFont="0" applyFill="0" applyBorder="0" applyAlignment="0" applyProtection="0"/>
    <xf numFmtId="44" fontId="9" fillId="0" borderId="0" applyFont="0" applyFill="0" applyBorder="0" applyAlignment="0" applyProtection="0"/>
    <xf numFmtId="0" fontId="14" fillId="0" borderId="0"/>
  </cellStyleXfs>
  <cellXfs count="167">
    <xf numFmtId="0" fontId="0" fillId="0" borderId="0" xfId="0"/>
    <xf numFmtId="0" fontId="1" fillId="2" borderId="0" xfId="0" applyFont="1" applyFill="1"/>
    <xf numFmtId="0" fontId="2" fillId="2" borderId="0" xfId="0" applyFont="1" applyFill="1"/>
    <xf numFmtId="0" fontId="2" fillId="0" borderId="0" xfId="0" applyFont="1"/>
    <xf numFmtId="0" fontId="3" fillId="3" borderId="0" xfId="0" applyFont="1" applyFill="1"/>
    <xf numFmtId="0" fontId="2" fillId="3" borderId="0" xfId="0" applyFont="1" applyFill="1"/>
    <xf numFmtId="0" fontId="4" fillId="0" borderId="0" xfId="0" applyFont="1"/>
    <xf numFmtId="0" fontId="5" fillId="0" borderId="0" xfId="0" applyFont="1"/>
    <xf numFmtId="0" fontId="5" fillId="0" borderId="0" xfId="0" applyFont="1" applyAlignment="1">
      <alignment horizontal="left" indent="2"/>
    </xf>
    <xf numFmtId="0" fontId="4" fillId="0" borderId="0" xfId="0" applyFont="1" applyAlignment="1">
      <alignment horizontal="center"/>
    </xf>
    <xf numFmtId="0" fontId="4" fillId="0" borderId="1" xfId="0" applyFont="1" applyBorder="1" applyAlignment="1">
      <alignment horizontal="center"/>
    </xf>
    <xf numFmtId="0" fontId="4" fillId="0" borderId="0" xfId="0" applyFont="1" applyAlignment="1">
      <alignment horizontal="centerContinuous"/>
    </xf>
    <xf numFmtId="0" fontId="5" fillId="0" borderId="0" xfId="0" applyFont="1" applyAlignment="1">
      <alignment horizontal="centerContinuous"/>
    </xf>
    <xf numFmtId="0" fontId="4" fillId="0" borderId="1" xfId="0" applyFont="1" applyBorder="1" applyAlignment="1">
      <alignment horizontal="centerContinuous"/>
    </xf>
    <xf numFmtId="0" fontId="5" fillId="0" borderId="1" xfId="0" applyFont="1" applyBorder="1" applyAlignment="1">
      <alignment horizontal="centerContinuous"/>
    </xf>
    <xf numFmtId="0" fontId="4" fillId="0" borderId="0" xfId="0" applyFont="1" applyBorder="1" applyAlignment="1">
      <alignment horizontal="center"/>
    </xf>
    <xf numFmtId="0" fontId="4" fillId="0" borderId="0" xfId="0" applyFont="1" applyBorder="1" applyAlignment="1">
      <alignment horizontal="centerContinuous"/>
    </xf>
    <xf numFmtId="0" fontId="5" fillId="0" borderId="0" xfId="0" applyFont="1" applyBorder="1" applyAlignment="1">
      <alignment horizontal="centerContinuous"/>
    </xf>
    <xf numFmtId="0" fontId="7" fillId="0" borderId="0" xfId="0" applyFont="1"/>
    <xf numFmtId="0" fontId="4" fillId="0" borderId="0" xfId="0" applyFont="1" applyBorder="1"/>
    <xf numFmtId="0" fontId="5" fillId="0" borderId="0" xfId="0" applyFont="1" applyBorder="1"/>
    <xf numFmtId="0" fontId="8" fillId="0" borderId="0" xfId="0" applyFont="1"/>
    <xf numFmtId="164" fontId="5" fillId="0" borderId="0" xfId="1" applyNumberFormat="1" applyFont="1" applyAlignment="1">
      <alignment horizontal="left" indent="2"/>
    </xf>
    <xf numFmtId="14" fontId="5" fillId="0" borderId="0" xfId="0" applyNumberFormat="1" applyFont="1" applyBorder="1"/>
    <xf numFmtId="0" fontId="5" fillId="0" borderId="0" xfId="0" applyFont="1" applyBorder="1" applyAlignment="1">
      <alignment horizontal="left" indent="2"/>
    </xf>
    <xf numFmtId="0" fontId="8" fillId="0" borderId="0" xfId="0" applyFont="1" applyAlignment="1">
      <alignment horizontal="center"/>
    </xf>
    <xf numFmtId="0" fontId="8" fillId="0" borderId="1" xfId="0" applyFont="1" applyBorder="1" applyAlignment="1">
      <alignment horizontal="center"/>
    </xf>
    <xf numFmtId="0" fontId="10" fillId="0" borderId="0" xfId="0" applyFont="1"/>
    <xf numFmtId="165" fontId="5" fillId="0" borderId="0" xfId="1" applyNumberFormat="1" applyFont="1"/>
    <xf numFmtId="166" fontId="5" fillId="0" borderId="0" xfId="2" applyNumberFormat="1" applyFont="1" applyAlignment="1">
      <alignment horizontal="right"/>
    </xf>
    <xf numFmtId="166" fontId="5" fillId="0" borderId="2" xfId="2" applyNumberFormat="1" applyFont="1" applyBorder="1" applyAlignment="1">
      <alignment horizontal="right"/>
    </xf>
    <xf numFmtId="166" fontId="4" fillId="0" borderId="0" xfId="2" applyNumberFormat="1" applyFont="1" applyAlignment="1">
      <alignment horizontal="right"/>
    </xf>
    <xf numFmtId="166" fontId="4" fillId="0" borderId="2" xfId="2" applyNumberFormat="1" applyFont="1" applyBorder="1" applyAlignment="1">
      <alignment horizontal="right"/>
    </xf>
    <xf numFmtId="166" fontId="4" fillId="0" borderId="3" xfId="2" applyNumberFormat="1" applyFont="1" applyBorder="1" applyAlignment="1">
      <alignment horizontal="right"/>
    </xf>
    <xf numFmtId="166" fontId="4" fillId="0" borderId="4" xfId="2" applyNumberFormat="1" applyFont="1" applyBorder="1" applyAlignment="1">
      <alignment horizontal="right"/>
    </xf>
    <xf numFmtId="166" fontId="5" fillId="0" borderId="0" xfId="0" applyNumberFormat="1" applyFont="1"/>
    <xf numFmtId="166" fontId="5" fillId="0" borderId="2" xfId="0" applyNumberFormat="1" applyFont="1" applyBorder="1"/>
    <xf numFmtId="166" fontId="4" fillId="0" borderId="0" xfId="0" applyNumberFormat="1" applyFont="1"/>
    <xf numFmtId="166" fontId="4" fillId="0" borderId="4" xfId="0" applyNumberFormat="1" applyFont="1" applyBorder="1"/>
    <xf numFmtId="166" fontId="4" fillId="0" borderId="0" xfId="0" applyNumberFormat="1" applyFont="1" applyAlignment="1">
      <alignment horizontal="right"/>
    </xf>
    <xf numFmtId="0" fontId="4" fillId="0" borderId="0" xfId="0" applyFont="1" applyAlignment="1">
      <alignment horizontal="right"/>
    </xf>
    <xf numFmtId="166" fontId="5" fillId="0" borderId="0" xfId="0" applyNumberFormat="1" applyFont="1" applyAlignment="1">
      <alignment horizontal="right"/>
    </xf>
    <xf numFmtId="0" fontId="5" fillId="0" borderId="0" xfId="0" applyFont="1" applyAlignment="1">
      <alignment horizontal="right"/>
    </xf>
    <xf numFmtId="166" fontId="5" fillId="0" borderId="2" xfId="0" applyNumberFormat="1" applyFont="1" applyBorder="1" applyAlignment="1">
      <alignment horizontal="right"/>
    </xf>
    <xf numFmtId="166" fontId="4" fillId="0" borderId="3" xfId="0" applyNumberFormat="1" applyFont="1" applyBorder="1" applyAlignment="1">
      <alignment horizontal="right"/>
    </xf>
    <xf numFmtId="166" fontId="5" fillId="0" borderId="4" xfId="0" applyNumberFormat="1" applyFont="1" applyBorder="1" applyAlignment="1">
      <alignment horizontal="right"/>
    </xf>
    <xf numFmtId="0" fontId="2" fillId="0" borderId="0" xfId="0" applyFont="1" applyAlignment="1">
      <alignment horizontal="right"/>
    </xf>
    <xf numFmtId="167" fontId="5" fillId="0" borderId="0" xfId="0" applyNumberFormat="1" applyFont="1"/>
    <xf numFmtId="167" fontId="5" fillId="0" borderId="2" xfId="0" applyNumberFormat="1" applyFont="1" applyBorder="1"/>
    <xf numFmtId="167" fontId="5" fillId="0" borderId="0" xfId="1" applyNumberFormat="1" applyFont="1"/>
    <xf numFmtId="167" fontId="4" fillId="0" borderId="0" xfId="0" applyNumberFormat="1" applyFont="1"/>
    <xf numFmtId="167" fontId="4" fillId="0" borderId="4" xfId="0" applyNumberFormat="1" applyFont="1" applyBorder="1"/>
    <xf numFmtId="167" fontId="4" fillId="0" borderId="2" xfId="0" applyNumberFormat="1" applyFont="1" applyBorder="1"/>
    <xf numFmtId="167" fontId="4" fillId="0" borderId="3" xfId="0" applyNumberFormat="1" applyFont="1" applyBorder="1"/>
    <xf numFmtId="167" fontId="5" fillId="0" borderId="4" xfId="0" applyNumberFormat="1" applyFont="1" applyBorder="1"/>
    <xf numFmtId="167" fontId="5" fillId="0" borderId="2" xfId="0" applyNumberFormat="1" applyFont="1" applyBorder="1" applyAlignment="1">
      <alignment horizontal="right"/>
    </xf>
    <xf numFmtId="167" fontId="4" fillId="0" borderId="0" xfId="0" applyNumberFormat="1" applyFont="1" applyAlignment="1">
      <alignment horizontal="right"/>
    </xf>
    <xf numFmtId="167" fontId="5" fillId="0" borderId="0" xfId="0" applyNumberFormat="1" applyFont="1" applyAlignment="1">
      <alignment horizontal="right"/>
    </xf>
    <xf numFmtId="167" fontId="4" fillId="0" borderId="3" xfId="0" applyNumberFormat="1" applyFont="1" applyBorder="1" applyAlignment="1">
      <alignment horizontal="right"/>
    </xf>
    <xf numFmtId="168" fontId="5" fillId="0" borderId="0" xfId="0" applyNumberFormat="1" applyFont="1"/>
    <xf numFmtId="168" fontId="5" fillId="0" borderId="0" xfId="1" applyNumberFormat="1" applyFont="1"/>
    <xf numFmtId="168" fontId="4" fillId="0" borderId="4" xfId="1" applyNumberFormat="1" applyFont="1" applyBorder="1"/>
    <xf numFmtId="168" fontId="4" fillId="0" borderId="4" xfId="0" applyNumberFormat="1" applyFont="1" applyBorder="1"/>
    <xf numFmtId="168" fontId="5" fillId="0" borderId="0" xfId="1" applyNumberFormat="1" applyFont="1" applyBorder="1"/>
    <xf numFmtId="168" fontId="4" fillId="0" borderId="0" xfId="1" applyNumberFormat="1" applyFont="1" applyBorder="1"/>
    <xf numFmtId="168" fontId="4" fillId="0" borderId="4" xfId="1" applyNumberFormat="1" applyFont="1" applyFill="1" applyBorder="1"/>
    <xf numFmtId="168" fontId="5" fillId="0" borderId="0" xfId="1" applyNumberFormat="1" applyFont="1" applyFill="1"/>
    <xf numFmtId="167" fontId="4" fillId="0" borderId="0" xfId="0" applyNumberFormat="1" applyFont="1" applyBorder="1" applyAlignment="1">
      <alignment horizontal="right"/>
    </xf>
    <xf numFmtId="167" fontId="4" fillId="0" borderId="5" xfId="0" applyNumberFormat="1" applyFont="1" applyBorder="1" applyAlignment="1">
      <alignment horizontal="right"/>
    </xf>
    <xf numFmtId="167" fontId="4" fillId="0" borderId="4" xfId="0" applyNumberFormat="1" applyFont="1" applyBorder="1" applyAlignment="1">
      <alignment horizontal="right"/>
    </xf>
    <xf numFmtId="167" fontId="5" fillId="0" borderId="5" xfId="1" applyNumberFormat="1" applyFont="1" applyBorder="1"/>
    <xf numFmtId="167" fontId="4" fillId="0" borderId="4" xfId="1" applyNumberFormat="1" applyFont="1" applyBorder="1"/>
    <xf numFmtId="167" fontId="4" fillId="0" borderId="6" xfId="1" applyNumberFormat="1" applyFont="1" applyBorder="1"/>
    <xf numFmtId="167" fontId="4" fillId="0" borderId="5" xfId="1" applyNumberFormat="1" applyFont="1" applyBorder="1"/>
    <xf numFmtId="167" fontId="4" fillId="0" borderId="3" xfId="1" applyNumberFormat="1" applyFont="1" applyBorder="1"/>
    <xf numFmtId="9" fontId="5" fillId="0" borderId="0" xfId="0" applyNumberFormat="1" applyFont="1"/>
    <xf numFmtId="14" fontId="5" fillId="0" borderId="0" xfId="1" applyNumberFormat="1" applyFont="1" applyAlignment="1">
      <alignment horizontal="left" indent="2"/>
    </xf>
    <xf numFmtId="164" fontId="5" fillId="0" borderId="0" xfId="1" applyNumberFormat="1" applyFont="1"/>
    <xf numFmtId="0" fontId="4" fillId="0" borderId="0" xfId="0" applyFont="1" applyFill="1"/>
    <xf numFmtId="0" fontId="5" fillId="0" borderId="0" xfId="0" applyFont="1" applyFill="1" applyAlignment="1">
      <alignment horizontal="left" indent="2"/>
    </xf>
    <xf numFmtId="0" fontId="2" fillId="0" borderId="0" xfId="0" applyFont="1" applyFill="1"/>
    <xf numFmtId="0" fontId="5" fillId="0" borderId="0" xfId="0" applyFont="1" applyFill="1"/>
    <xf numFmtId="167" fontId="5" fillId="0" borderId="0" xfId="1" applyNumberFormat="1" applyFont="1" applyBorder="1" applyAlignment="1">
      <alignment horizontal="right"/>
    </xf>
    <xf numFmtId="167" fontId="5" fillId="0" borderId="0" xfId="1" applyNumberFormat="1" applyFont="1" applyAlignment="1">
      <alignment horizontal="right"/>
    </xf>
    <xf numFmtId="169" fontId="5" fillId="0" borderId="0" xfId="3" applyNumberFormat="1" applyFont="1"/>
    <xf numFmtId="169" fontId="5" fillId="0" borderId="0" xfId="1" applyNumberFormat="1" applyFont="1" applyAlignment="1">
      <alignment horizontal="right"/>
    </xf>
    <xf numFmtId="169" fontId="5" fillId="0" borderId="0" xfId="0" applyNumberFormat="1" applyFont="1"/>
    <xf numFmtId="170" fontId="5" fillId="0" borderId="0" xfId="2" applyNumberFormat="1" applyFont="1"/>
    <xf numFmtId="10" fontId="5" fillId="0" borderId="0" xfId="2" applyNumberFormat="1" applyFont="1"/>
    <xf numFmtId="171" fontId="5" fillId="0" borderId="0" xfId="2" applyNumberFormat="1" applyFont="1"/>
    <xf numFmtId="172" fontId="5" fillId="0" borderId="0" xfId="2" applyNumberFormat="1" applyFont="1" applyAlignment="1">
      <alignment horizontal="right"/>
    </xf>
    <xf numFmtId="167" fontId="5" fillId="0" borderId="0" xfId="0" applyNumberFormat="1" applyFont="1" applyBorder="1"/>
    <xf numFmtId="167" fontId="4" fillId="0" borderId="0" xfId="0" applyNumberFormat="1" applyFont="1" applyBorder="1"/>
    <xf numFmtId="0" fontId="2" fillId="3" borderId="0" xfId="0" applyFont="1" applyFill="1" applyBorder="1"/>
    <xf numFmtId="167" fontId="5" fillId="0" borderId="0" xfId="1" applyNumberFormat="1" applyFont="1" applyFill="1"/>
    <xf numFmtId="167" fontId="4" fillId="0" borderId="0" xfId="1" applyNumberFormat="1" applyFont="1"/>
    <xf numFmtId="167" fontId="4" fillId="0" borderId="0" xfId="1" applyNumberFormat="1" applyFont="1" applyFill="1"/>
    <xf numFmtId="4" fontId="5" fillId="0" borderId="0" xfId="0" applyNumberFormat="1" applyFont="1"/>
    <xf numFmtId="167" fontId="5" fillId="0" borderId="0" xfId="1" applyNumberFormat="1" applyFont="1" applyAlignment="1">
      <alignment horizontal="center"/>
    </xf>
    <xf numFmtId="0" fontId="5" fillId="0" borderId="0" xfId="0" applyFont="1" applyAlignment="1">
      <alignment horizontal="center"/>
    </xf>
    <xf numFmtId="0" fontId="7" fillId="0" borderId="0" xfId="0" applyFont="1" applyBorder="1"/>
    <xf numFmtId="167" fontId="5" fillId="0" borderId="2" xfId="1" applyNumberFormat="1" applyFont="1" applyBorder="1"/>
    <xf numFmtId="167" fontId="5" fillId="0" borderId="0" xfId="0" applyNumberFormat="1" applyFont="1" applyFill="1"/>
    <xf numFmtId="167" fontId="5" fillId="0" borderId="0" xfId="1" applyNumberFormat="1" applyFont="1" applyFill="1" applyBorder="1" applyAlignment="1">
      <alignment horizontal="right"/>
    </xf>
    <xf numFmtId="169" fontId="5" fillId="0" borderId="0" xfId="1" applyNumberFormat="1" applyFont="1" applyFill="1" applyAlignment="1">
      <alignment horizontal="right"/>
    </xf>
    <xf numFmtId="0" fontId="13" fillId="0" borderId="0" xfId="0" applyFont="1" applyFill="1"/>
    <xf numFmtId="165" fontId="5" fillId="0" borderId="0" xfId="1" applyNumberFormat="1" applyFont="1" applyFill="1"/>
    <xf numFmtId="166" fontId="5" fillId="0" borderId="0" xfId="2" applyNumberFormat="1" applyFont="1" applyFill="1" applyAlignment="1">
      <alignment horizontal="right"/>
    </xf>
    <xf numFmtId="164" fontId="5" fillId="0" borderId="0" xfId="0" applyNumberFormat="1" applyFont="1" applyFill="1"/>
    <xf numFmtId="164" fontId="5" fillId="0" borderId="0" xfId="1" applyNumberFormat="1" applyFont="1" applyFill="1"/>
    <xf numFmtId="0" fontId="17" fillId="0" borderId="0" xfId="0" applyFont="1"/>
    <xf numFmtId="0" fontId="17" fillId="0" borderId="0" xfId="0" applyFont="1" applyFill="1"/>
    <xf numFmtId="0" fontId="5" fillId="0" borderId="0" xfId="0" applyFont="1" applyAlignment="1">
      <alignment horizontal="left" wrapText="1" indent="2"/>
    </xf>
    <xf numFmtId="167" fontId="5" fillId="0" borderId="0" xfId="0" applyNumberFormat="1" applyFont="1" applyAlignment="1">
      <alignment vertical="center"/>
    </xf>
    <xf numFmtId="166" fontId="5" fillId="0" borderId="0" xfId="2" applyNumberFormat="1" applyFont="1" applyAlignment="1">
      <alignment horizontal="right" vertical="center"/>
    </xf>
    <xf numFmtId="0" fontId="5" fillId="0" borderId="0" xfId="0" applyFont="1" applyAlignment="1">
      <alignment vertical="center"/>
    </xf>
    <xf numFmtId="167" fontId="5" fillId="0" borderId="2" xfId="0" applyNumberFormat="1" applyFont="1" applyBorder="1" applyAlignment="1">
      <alignment vertical="center"/>
    </xf>
    <xf numFmtId="166" fontId="5" fillId="0" borderId="2" xfId="2" applyNumberFormat="1" applyFont="1" applyBorder="1" applyAlignment="1">
      <alignment horizontal="right" vertical="center"/>
    </xf>
    <xf numFmtId="167" fontId="4" fillId="0" borderId="0" xfId="0" applyNumberFormat="1" applyFont="1" applyFill="1"/>
    <xf numFmtId="167" fontId="4" fillId="0" borderId="0" xfId="1" applyNumberFormat="1" applyFont="1" applyAlignment="1">
      <alignment horizontal="right"/>
    </xf>
    <xf numFmtId="167" fontId="5" fillId="0" borderId="2" xfId="1" applyNumberFormat="1" applyFont="1" applyFill="1" applyBorder="1"/>
    <xf numFmtId="167" fontId="4" fillId="0" borderId="0" xfId="1" applyNumberFormat="1" applyFont="1" applyFill="1" applyAlignment="1">
      <alignment horizontal="right"/>
    </xf>
    <xf numFmtId="0" fontId="7" fillId="0" borderId="0" xfId="0" applyFont="1" applyFill="1" applyBorder="1" applyAlignment="1">
      <alignment horizontal="left" indent="2"/>
    </xf>
    <xf numFmtId="167" fontId="5" fillId="0" borderId="0" xfId="1" applyNumberFormat="1" applyFont="1" applyFill="1" applyAlignment="1">
      <alignment horizontal="right"/>
    </xf>
    <xf numFmtId="164" fontId="5" fillId="0" borderId="0" xfId="1" applyNumberFormat="1" applyFont="1" applyFill="1" applyBorder="1"/>
    <xf numFmtId="164" fontId="4" fillId="0" borderId="0" xfId="1" applyNumberFormat="1" applyFont="1" applyFill="1" applyBorder="1"/>
    <xf numFmtId="164" fontId="4" fillId="0" borderId="4" xfId="1" applyNumberFormat="1" applyFont="1" applyBorder="1"/>
    <xf numFmtId="167" fontId="4" fillId="0" borderId="0" xfId="0" applyNumberFormat="1" applyFont="1" applyFill="1" applyBorder="1"/>
    <xf numFmtId="0" fontId="2" fillId="0" borderId="0" xfId="0" applyFont="1" applyBorder="1"/>
    <xf numFmtId="166" fontId="5" fillId="0" borderId="0" xfId="2" applyNumberFormat="1" applyFont="1" applyBorder="1" applyAlignment="1">
      <alignment horizontal="right"/>
    </xf>
    <xf numFmtId="166" fontId="5" fillId="0" borderId="0" xfId="0" applyNumberFormat="1" applyFont="1" applyBorder="1"/>
    <xf numFmtId="0" fontId="5" fillId="0" borderId="0" xfId="0" applyFont="1" applyBorder="1" applyAlignment="1">
      <alignment horizontal="right"/>
    </xf>
    <xf numFmtId="167" fontId="5" fillId="0" borderId="0" xfId="0" applyNumberFormat="1" applyFont="1" applyBorder="1" applyAlignment="1">
      <alignment horizontal="right"/>
    </xf>
    <xf numFmtId="166" fontId="5" fillId="0" borderId="0" xfId="0" applyNumberFormat="1" applyFont="1" applyBorder="1" applyAlignment="1">
      <alignment horizontal="right"/>
    </xf>
    <xf numFmtId="0" fontId="4" fillId="0" borderId="0" xfId="0" applyFont="1" applyBorder="1" applyAlignment="1">
      <alignment horizontal="right"/>
    </xf>
    <xf numFmtId="166" fontId="4" fillId="0" borderId="0" xfId="0" applyNumberFormat="1" applyFont="1" applyBorder="1" applyAlignment="1">
      <alignment horizontal="right"/>
    </xf>
    <xf numFmtId="17" fontId="4" fillId="0" borderId="0" xfId="0" quotePrefix="1" applyNumberFormat="1" applyFont="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7" xfId="0" applyFont="1" applyBorder="1"/>
    <xf numFmtId="167" fontId="5" fillId="0" borderId="7" xfId="0" applyNumberFormat="1" applyFont="1" applyBorder="1"/>
    <xf numFmtId="167" fontId="5" fillId="0" borderId="9" xfId="0" applyNumberFormat="1" applyFont="1" applyBorder="1"/>
    <xf numFmtId="167" fontId="4" fillId="0" borderId="7" xfId="0" applyNumberFormat="1" applyFont="1" applyBorder="1"/>
    <xf numFmtId="167" fontId="4" fillId="0" borderId="10" xfId="0" applyNumberFormat="1" applyFont="1" applyBorder="1"/>
    <xf numFmtId="168" fontId="5" fillId="0" borderId="0" xfId="0" applyNumberFormat="1" applyFont="1" applyBorder="1"/>
    <xf numFmtId="173" fontId="5" fillId="0" borderId="0" xfId="0" applyNumberFormat="1" applyFont="1" applyBorder="1"/>
    <xf numFmtId="10" fontId="5" fillId="0" borderId="0" xfId="2" applyNumberFormat="1" applyFont="1" applyBorder="1"/>
    <xf numFmtId="173" fontId="5" fillId="0" borderId="0" xfId="0" applyNumberFormat="1" applyFont="1"/>
    <xf numFmtId="0" fontId="5" fillId="0" borderId="0" xfId="0" applyFont="1"/>
    <xf numFmtId="0" fontId="5" fillId="0" borderId="0" xfId="0" applyFont="1" applyFill="1" applyBorder="1"/>
    <xf numFmtId="167" fontId="5" fillId="0" borderId="0" xfId="0" applyNumberFormat="1" applyFont="1" applyFill="1" applyBorder="1"/>
    <xf numFmtId="167" fontId="15" fillId="0" borderId="0" xfId="1" applyNumberFormat="1" applyFont="1" applyAlignment="1">
      <alignment horizontal="right"/>
    </xf>
    <xf numFmtId="167" fontId="15" fillId="0" borderId="0" xfId="1" applyNumberFormat="1" applyFont="1" applyFill="1" applyAlignment="1">
      <alignment horizontal="right"/>
    </xf>
    <xf numFmtId="174" fontId="5" fillId="0" borderId="0" xfId="0" applyNumberFormat="1" applyFont="1"/>
    <xf numFmtId="174" fontId="4" fillId="0" borderId="0" xfId="0" applyNumberFormat="1" applyFont="1"/>
    <xf numFmtId="174" fontId="4" fillId="0" borderId="3" xfId="0" applyNumberFormat="1" applyFont="1" applyBorder="1"/>
    <xf numFmtId="167" fontId="15" fillId="0" borderId="0" xfId="0" applyNumberFormat="1" applyFont="1" applyFill="1"/>
    <xf numFmtId="168" fontId="15" fillId="0" borderId="0" xfId="0" applyNumberFormat="1" applyFont="1"/>
    <xf numFmtId="168" fontId="8" fillId="0" borderId="4" xfId="0" applyNumberFormat="1" applyFont="1" applyBorder="1"/>
    <xf numFmtId="167" fontId="5" fillId="0" borderId="0" xfId="0" applyNumberFormat="1" applyFont="1" applyFill="1" applyAlignment="1">
      <alignment horizontal="right"/>
    </xf>
    <xf numFmtId="167" fontId="15" fillId="0" borderId="0" xfId="0" applyNumberFormat="1" applyFont="1"/>
    <xf numFmtId="164" fontId="4" fillId="0" borderId="4" xfId="1" applyNumberFormat="1" applyFont="1" applyBorder="1" applyAlignment="1">
      <alignment vertical="center"/>
    </xf>
    <xf numFmtId="167" fontId="15" fillId="0" borderId="2" xfId="0" applyNumberFormat="1" applyFont="1" applyBorder="1"/>
    <xf numFmtId="0" fontId="5" fillId="0" borderId="0" xfId="0" applyFont="1" applyAlignment="1">
      <alignment vertical="top" wrapText="1"/>
    </xf>
    <xf numFmtId="0" fontId="5" fillId="0" borderId="0" xfId="0" applyFont="1" applyAlignment="1">
      <alignment wrapText="1"/>
    </xf>
    <xf numFmtId="0" fontId="5" fillId="0" borderId="0" xfId="0" applyFont="1"/>
    <xf numFmtId="0" fontId="4" fillId="0" borderId="1" xfId="0" applyFont="1" applyBorder="1" applyAlignment="1">
      <alignment horizontal="center"/>
    </xf>
  </cellXfs>
  <cellStyles count="5">
    <cellStyle name="Comma" xfId="1" builtinId="3"/>
    <cellStyle name="Currency" xfId="3" builtinId="4"/>
    <cellStyle name="Normal" xfId="0" builtinId="0"/>
    <cellStyle name="Normal 2 11" xfId="4" xr:uid="{7D65E3DE-FC95-49DA-BCEF-E787E5D7EE50}"/>
    <cellStyle name="Percent" xfId="2" builtinId="5"/>
  </cellStyles>
  <dxfs count="0"/>
  <tableStyles count="0" defaultTableStyle="TableStyleMedium2" defaultPivotStyle="PivotStyleLight16"/>
  <colors>
    <mruColors>
      <color rgb="FF84BA40"/>
      <color rgb="FF595A5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ED348D-FC36-4900-94D3-BDBF7C27D85B}">
  <sheetPr>
    <pageSetUpPr fitToPage="1"/>
  </sheetPr>
  <dimension ref="A1:L6"/>
  <sheetViews>
    <sheetView showGridLines="0" tabSelected="1" zoomScaleNormal="100" workbookViewId="0">
      <selection activeCell="O5" sqref="O5"/>
    </sheetView>
  </sheetViews>
  <sheetFormatPr defaultRowHeight="14.25" x14ac:dyDescent="0.2"/>
  <cols>
    <col min="1" max="1" width="73.140625" style="3" customWidth="1"/>
    <col min="2" max="6" width="9.140625" style="3"/>
    <col min="7" max="7" width="2.140625" style="3" customWidth="1"/>
    <col min="8" max="9" width="9.140625" style="3"/>
    <col min="10" max="10" width="2.140625" style="3" customWidth="1"/>
    <col min="11" max="16384" width="9.140625" style="3"/>
  </cols>
  <sheetData>
    <row r="1" spans="1:12" ht="27.75" x14ac:dyDescent="0.4">
      <c r="A1" s="1" t="s">
        <v>0</v>
      </c>
      <c r="B1" s="2"/>
      <c r="C1" s="2"/>
      <c r="D1" s="2"/>
      <c r="E1" s="2"/>
      <c r="F1" s="2"/>
      <c r="G1" s="2"/>
      <c r="H1" s="2"/>
      <c r="I1" s="2"/>
      <c r="J1" s="2"/>
      <c r="K1" s="2"/>
      <c r="L1" s="2"/>
    </row>
    <row r="3" spans="1:12" ht="18" x14ac:dyDescent="0.25">
      <c r="A3" s="4" t="s">
        <v>301</v>
      </c>
      <c r="B3" s="5"/>
      <c r="C3" s="5"/>
      <c r="D3" s="5"/>
      <c r="E3" s="5"/>
      <c r="F3" s="5"/>
      <c r="G3" s="5"/>
      <c r="H3" s="5"/>
      <c r="I3" s="5"/>
      <c r="J3" s="5"/>
      <c r="K3" s="5"/>
      <c r="L3" s="5"/>
    </row>
    <row r="4" spans="1:12" s="7" customFormat="1" ht="12.75" x14ac:dyDescent="0.2"/>
    <row r="5" spans="1:12" s="7" customFormat="1" ht="262.5" customHeight="1" x14ac:dyDescent="0.2">
      <c r="A5" s="163" t="s">
        <v>354</v>
      </c>
      <c r="B5" s="163"/>
      <c r="C5" s="163"/>
      <c r="D5" s="163"/>
      <c r="E5" s="163"/>
      <c r="F5" s="163"/>
      <c r="G5" s="163"/>
      <c r="H5" s="163"/>
      <c r="I5" s="163"/>
      <c r="J5" s="163"/>
      <c r="K5" s="163"/>
      <c r="L5" s="163"/>
    </row>
    <row r="6" spans="1:12" ht="141.75" customHeight="1" x14ac:dyDescent="0.2">
      <c r="A6" s="164" t="s">
        <v>355</v>
      </c>
      <c r="B6" s="165"/>
      <c r="C6" s="165"/>
      <c r="D6" s="165"/>
      <c r="E6" s="165"/>
      <c r="F6" s="165"/>
      <c r="G6" s="165"/>
      <c r="H6" s="165"/>
      <c r="I6" s="165"/>
      <c r="J6" s="165"/>
      <c r="K6" s="165"/>
      <c r="L6" s="165"/>
    </row>
  </sheetData>
  <mergeCells count="2">
    <mergeCell ref="A5:L5"/>
    <mergeCell ref="A6:L6"/>
  </mergeCells>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2E31CC-4702-43FC-8EF3-077B66E003E7}">
  <sheetPr>
    <pageSetUpPr fitToPage="1"/>
  </sheetPr>
  <dimension ref="A1:N74"/>
  <sheetViews>
    <sheetView showGridLines="0" zoomScaleNormal="100" workbookViewId="0">
      <selection activeCell="O5" sqref="O5"/>
    </sheetView>
  </sheetViews>
  <sheetFormatPr defaultRowHeight="14.25" x14ac:dyDescent="0.2"/>
  <cols>
    <col min="1" max="1" width="53.5703125" style="3" customWidth="1"/>
    <col min="2" max="7" width="9.140625" style="3"/>
    <col min="8" max="8" width="2.140625" style="3" customWidth="1"/>
    <col min="9" max="10" width="9.140625" style="3"/>
    <col min="11" max="11" width="2.140625" style="3" customWidth="1"/>
    <col min="12" max="13" width="9.140625" style="3"/>
    <col min="14" max="14" width="10.8554687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268</v>
      </c>
      <c r="B3" s="5"/>
      <c r="C3" s="5"/>
      <c r="D3" s="5"/>
      <c r="E3" s="5"/>
      <c r="F3" s="5"/>
      <c r="G3" s="5"/>
      <c r="H3" s="5"/>
      <c r="I3" s="5"/>
      <c r="J3" s="5"/>
      <c r="K3" s="5"/>
      <c r="L3" s="5"/>
      <c r="M3" s="5"/>
      <c r="N3" s="5"/>
    </row>
    <row r="4" spans="1:14" s="7" customFormat="1" ht="12.75" x14ac:dyDescent="0.2">
      <c r="A4" s="105" t="s">
        <v>279</v>
      </c>
    </row>
    <row r="5" spans="1:14" s="7" customFormat="1" ht="12.75" x14ac:dyDescent="0.2">
      <c r="B5" s="9" t="s">
        <v>49</v>
      </c>
      <c r="C5" s="9" t="s">
        <v>50</v>
      </c>
      <c r="D5" s="9" t="s">
        <v>51</v>
      </c>
      <c r="E5" s="9" t="s">
        <v>52</v>
      </c>
      <c r="F5" s="9" t="s">
        <v>53</v>
      </c>
      <c r="G5" s="9" t="s">
        <v>308</v>
      </c>
      <c r="I5" s="11" t="s">
        <v>305</v>
      </c>
      <c r="J5" s="11" t="s">
        <v>306</v>
      </c>
      <c r="K5" s="6"/>
      <c r="L5" s="11" t="s">
        <v>307</v>
      </c>
      <c r="M5" s="12"/>
    </row>
    <row r="6" spans="1:14" s="7" customFormat="1" ht="13.5" thickBot="1" x14ac:dyDescent="0.25">
      <c r="B6" s="10" t="s">
        <v>54</v>
      </c>
      <c r="C6" s="10" t="s">
        <v>54</v>
      </c>
      <c r="D6" s="10" t="s">
        <v>54</v>
      </c>
      <c r="E6" s="10" t="s">
        <v>54</v>
      </c>
      <c r="F6" s="10" t="s">
        <v>54</v>
      </c>
      <c r="G6" s="10" t="s">
        <v>54</v>
      </c>
      <c r="I6" s="10" t="s">
        <v>54</v>
      </c>
      <c r="J6" s="10" t="s">
        <v>54</v>
      </c>
      <c r="K6" s="6"/>
      <c r="L6" s="10" t="s">
        <v>54</v>
      </c>
      <c r="M6" s="10" t="s">
        <v>55</v>
      </c>
    </row>
    <row r="7" spans="1:14" s="7" customFormat="1" ht="12.75" x14ac:dyDescent="0.2">
      <c r="A7" s="78" t="s">
        <v>1</v>
      </c>
    </row>
    <row r="8" spans="1:14" s="7" customFormat="1" ht="12.75" x14ac:dyDescent="0.2">
      <c r="A8" s="79" t="s">
        <v>2</v>
      </c>
      <c r="B8" s="47">
        <v>4</v>
      </c>
      <c r="C8" s="47">
        <v>1.93</v>
      </c>
      <c r="D8" s="47">
        <v>0</v>
      </c>
      <c r="E8" s="47">
        <v>0</v>
      </c>
      <c r="F8" s="47">
        <v>0</v>
      </c>
      <c r="G8" s="47">
        <v>0</v>
      </c>
      <c r="H8" s="47"/>
      <c r="I8" s="47">
        <f>SUM(D8:E8)</f>
        <v>0</v>
      </c>
      <c r="J8" s="47">
        <f>SUM(F8:G8)</f>
        <v>0</v>
      </c>
      <c r="L8" s="47">
        <f t="shared" ref="L8:L18" si="0">J8-I8</f>
        <v>0</v>
      </c>
      <c r="M8" s="29" t="str">
        <f t="shared" ref="M8:M18" si="1">+IF(I8&lt;&gt;0,IF(ABS((L8)/I8)&gt;1,"n/a ",(L8)/I8*SIGN(I8)),"n/a ")</f>
        <v xml:space="preserve">n/a </v>
      </c>
    </row>
    <row r="9" spans="1:14" s="7" customFormat="1" ht="12.75" x14ac:dyDescent="0.2">
      <c r="A9" s="79" t="s">
        <v>3</v>
      </c>
      <c r="B9" s="47">
        <v>0.35</v>
      </c>
      <c r="C9" s="47">
        <v>0.03</v>
      </c>
      <c r="D9" s="47">
        <v>0</v>
      </c>
      <c r="E9" s="47">
        <v>0</v>
      </c>
      <c r="F9" s="47">
        <v>0</v>
      </c>
      <c r="G9" s="47">
        <v>0</v>
      </c>
      <c r="H9" s="47"/>
      <c r="I9" s="47">
        <f t="shared" ref="I9:I11" si="2">SUM(D9:E9)</f>
        <v>0</v>
      </c>
      <c r="J9" s="47">
        <f t="shared" ref="J9:J12" si="3">SUM(F9:G9)</f>
        <v>0</v>
      </c>
      <c r="L9" s="47">
        <f t="shared" si="0"/>
        <v>0</v>
      </c>
      <c r="M9" s="41" t="str">
        <f>+IF(I9&lt;&gt;0,IF(ABS((L9)/I9)&gt;1,"n/a ",(L9)/I9*SIGN(I9)),"n/a ")</f>
        <v xml:space="preserve">n/a </v>
      </c>
    </row>
    <row r="10" spans="1:14" s="7" customFormat="1" ht="12.75" x14ac:dyDescent="0.2">
      <c r="A10" s="79" t="s">
        <v>4</v>
      </c>
      <c r="B10" s="47">
        <v>0</v>
      </c>
      <c r="C10" s="47">
        <v>0</v>
      </c>
      <c r="D10" s="47">
        <v>0</v>
      </c>
      <c r="E10" s="47">
        <v>0</v>
      </c>
      <c r="F10" s="47">
        <v>0</v>
      </c>
      <c r="G10" s="47">
        <v>0</v>
      </c>
      <c r="H10" s="47"/>
      <c r="I10" s="47">
        <f t="shared" si="2"/>
        <v>0</v>
      </c>
      <c r="J10" s="47">
        <f>SUM(F10:G10)</f>
        <v>0</v>
      </c>
      <c r="L10" s="47">
        <f>J10-I10</f>
        <v>0</v>
      </c>
      <c r="M10" s="29" t="str">
        <f>+IF(I10&lt;&gt;0,IF(ABS((L10)/I10)&gt;1,"n/a ",(L10)/I10*SIGN(I10)),"n/a ")</f>
        <v xml:space="preserve">n/a </v>
      </c>
    </row>
    <row r="11" spans="1:14" s="7" customFormat="1" ht="12.75" x14ac:dyDescent="0.2">
      <c r="A11" s="79" t="s">
        <v>5</v>
      </c>
      <c r="B11" s="47">
        <v>-2.82</v>
      </c>
      <c r="C11" s="47">
        <v>-1.92</v>
      </c>
      <c r="D11" s="47">
        <v>0</v>
      </c>
      <c r="E11" s="47">
        <v>0</v>
      </c>
      <c r="F11" s="47">
        <v>0</v>
      </c>
      <c r="G11" s="47">
        <v>0</v>
      </c>
      <c r="H11" s="47"/>
      <c r="I11" s="47">
        <f t="shared" si="2"/>
        <v>0</v>
      </c>
      <c r="J11" s="47">
        <f t="shared" si="3"/>
        <v>0</v>
      </c>
      <c r="L11" s="47">
        <f>J11-I11</f>
        <v>0</v>
      </c>
      <c r="M11" s="29" t="str">
        <f t="shared" si="1"/>
        <v xml:space="preserve">n/a </v>
      </c>
    </row>
    <row r="12" spans="1:14" s="7" customFormat="1" ht="12.75" x14ac:dyDescent="0.2">
      <c r="A12" s="79" t="s">
        <v>6</v>
      </c>
      <c r="B12" s="48">
        <v>0</v>
      </c>
      <c r="C12" s="48">
        <v>0</v>
      </c>
      <c r="D12" s="48">
        <v>0</v>
      </c>
      <c r="E12" s="48">
        <v>0</v>
      </c>
      <c r="F12" s="48">
        <v>0</v>
      </c>
      <c r="G12" s="48">
        <v>0</v>
      </c>
      <c r="H12" s="47"/>
      <c r="I12" s="48">
        <f>SUM(D12:E12)</f>
        <v>0</v>
      </c>
      <c r="J12" s="48">
        <f t="shared" si="3"/>
        <v>0</v>
      </c>
      <c r="K12" s="42"/>
      <c r="L12" s="55">
        <f t="shared" si="0"/>
        <v>0</v>
      </c>
      <c r="M12" s="43" t="str">
        <f t="shared" si="1"/>
        <v xml:space="preserve">n/a </v>
      </c>
    </row>
    <row r="13" spans="1:14" s="7" customFormat="1" ht="12.75" x14ac:dyDescent="0.2">
      <c r="A13" s="78" t="s">
        <v>7</v>
      </c>
      <c r="B13" s="50">
        <f>SUM(B8:B12)</f>
        <v>1.5299999999999998</v>
      </c>
      <c r="C13" s="50">
        <f t="shared" ref="C13:E13" si="4">SUM(C8:C12)</f>
        <v>4.0000000000000036E-2</v>
      </c>
      <c r="D13" s="50">
        <f t="shared" si="4"/>
        <v>0</v>
      </c>
      <c r="E13" s="50">
        <f t="shared" si="4"/>
        <v>0</v>
      </c>
      <c r="F13" s="50">
        <f t="shared" ref="F13:J13" si="5">SUM(F8:F12)</f>
        <v>0</v>
      </c>
      <c r="G13" s="50">
        <f t="shared" si="5"/>
        <v>0</v>
      </c>
      <c r="H13" s="47"/>
      <c r="I13" s="50">
        <f>SUM(I8:I12)</f>
        <v>0</v>
      </c>
      <c r="J13" s="50">
        <f t="shared" si="5"/>
        <v>0</v>
      </c>
      <c r="K13" s="40"/>
      <c r="L13" s="56">
        <f t="shared" si="0"/>
        <v>0</v>
      </c>
      <c r="M13" s="39" t="str">
        <f t="shared" si="1"/>
        <v xml:space="preserve">n/a </v>
      </c>
    </row>
    <row r="14" spans="1:14" s="7" customFormat="1" ht="12.75" x14ac:dyDescent="0.2">
      <c r="A14" s="78"/>
      <c r="B14" s="50"/>
      <c r="C14" s="50"/>
      <c r="D14" s="50"/>
      <c r="E14" s="50"/>
      <c r="F14" s="50"/>
      <c r="G14" s="50"/>
      <c r="H14" s="47"/>
      <c r="I14" s="50"/>
      <c r="J14" s="50"/>
      <c r="K14" s="40"/>
      <c r="L14" s="56"/>
      <c r="M14" s="39"/>
    </row>
    <row r="15" spans="1:14" s="7" customFormat="1" ht="12.75" x14ac:dyDescent="0.2">
      <c r="A15" s="79" t="s">
        <v>8</v>
      </c>
      <c r="B15" s="47">
        <v>0</v>
      </c>
      <c r="C15" s="47">
        <v>0</v>
      </c>
      <c r="D15" s="47">
        <v>0</v>
      </c>
      <c r="E15" s="47">
        <v>0</v>
      </c>
      <c r="F15" s="47">
        <v>0</v>
      </c>
      <c r="G15" s="47">
        <v>0</v>
      </c>
      <c r="H15" s="47"/>
      <c r="I15" s="47">
        <f t="shared" ref="I15" si="6">SUM(D15:E15)</f>
        <v>0</v>
      </c>
      <c r="J15" s="47">
        <f>SUM(F15:G15)</f>
        <v>0</v>
      </c>
      <c r="K15" s="42"/>
      <c r="L15" s="57">
        <f>J15-I15</f>
        <v>0</v>
      </c>
      <c r="M15" s="41" t="str">
        <f>+IF(I15&lt;&gt;0,IF(ABS((L15)/I15)&gt;1,"n/a ",(L15)/I15*SIGN(I15)),"n/a ")</f>
        <v xml:space="preserve">n/a </v>
      </c>
    </row>
    <row r="16" spans="1:14" s="7" customFormat="1" ht="12.75" x14ac:dyDescent="0.2">
      <c r="A16" s="79" t="s">
        <v>15</v>
      </c>
      <c r="B16" s="47">
        <v>0</v>
      </c>
      <c r="C16" s="47">
        <v>0</v>
      </c>
      <c r="D16" s="47">
        <v>0</v>
      </c>
      <c r="E16" s="47">
        <v>0</v>
      </c>
      <c r="F16" s="47">
        <v>0</v>
      </c>
      <c r="G16" s="47">
        <v>0</v>
      </c>
      <c r="H16" s="47"/>
      <c r="I16" s="47">
        <f>SUM(D16:E16)</f>
        <v>0</v>
      </c>
      <c r="J16" s="47">
        <f>SUM(F16:G16)</f>
        <v>0</v>
      </c>
      <c r="K16" s="42"/>
      <c r="L16" s="57">
        <f t="shared" si="0"/>
        <v>0</v>
      </c>
      <c r="M16" s="41" t="str">
        <f>+IF(I16&lt;&gt;0,IF(ABS((L16)/I16)&gt;1,"n/a ",(L16)/I16*SIGN(I16)),"n/a ")</f>
        <v xml:space="preserve">n/a </v>
      </c>
    </row>
    <row r="17" spans="1:14" s="7" customFormat="1" ht="12.75" x14ac:dyDescent="0.2">
      <c r="A17" s="79" t="s">
        <v>259</v>
      </c>
      <c r="B17" s="47">
        <v>-1.68</v>
      </c>
      <c r="C17" s="47">
        <v>-0.14000000000000001</v>
      </c>
      <c r="D17" s="47">
        <v>0</v>
      </c>
      <c r="E17" s="47">
        <v>0</v>
      </c>
      <c r="F17" s="47">
        <v>0</v>
      </c>
      <c r="G17" s="47">
        <v>0</v>
      </c>
      <c r="H17" s="47"/>
      <c r="I17" s="47">
        <f>SUM(D17:E17)</f>
        <v>0</v>
      </c>
      <c r="J17" s="47">
        <f t="shared" ref="J17" si="7">SUM(F17:G17)</f>
        <v>0</v>
      </c>
      <c r="K17" s="42"/>
      <c r="L17" s="57">
        <f>J17-I17</f>
        <v>0</v>
      </c>
      <c r="M17" s="41" t="str">
        <f t="shared" si="1"/>
        <v xml:space="preserve">n/a </v>
      </c>
    </row>
    <row r="18" spans="1:14" s="7" customFormat="1" ht="13.5" thickBot="1" x14ac:dyDescent="0.25">
      <c r="A18" s="78" t="s">
        <v>276</v>
      </c>
      <c r="B18" s="53">
        <f>SUM(B13:B17)</f>
        <v>-0.15000000000000013</v>
      </c>
      <c r="C18" s="53">
        <f t="shared" ref="C18:J18" si="8">SUM(C13:C17)</f>
        <v>-9.9999999999999978E-2</v>
      </c>
      <c r="D18" s="53">
        <f t="shared" si="8"/>
        <v>0</v>
      </c>
      <c r="E18" s="53">
        <f t="shared" si="8"/>
        <v>0</v>
      </c>
      <c r="F18" s="53">
        <f t="shared" si="8"/>
        <v>0</v>
      </c>
      <c r="G18" s="53">
        <f t="shared" si="8"/>
        <v>0</v>
      </c>
      <c r="H18" s="47"/>
      <c r="I18" s="53">
        <f>SUM(I13:I17)</f>
        <v>0</v>
      </c>
      <c r="J18" s="53">
        <f t="shared" si="8"/>
        <v>0</v>
      </c>
      <c r="K18" s="40"/>
      <c r="L18" s="58">
        <f t="shared" si="0"/>
        <v>0</v>
      </c>
      <c r="M18" s="44" t="str">
        <f t="shared" si="1"/>
        <v xml:space="preserve">n/a </v>
      </c>
    </row>
    <row r="19" spans="1:14" ht="15" thickTop="1" x14ac:dyDescent="0.2"/>
    <row r="20" spans="1:14" ht="18" x14ac:dyDescent="0.25">
      <c r="A20" s="4" t="s">
        <v>272</v>
      </c>
      <c r="B20" s="5"/>
      <c r="C20" s="5"/>
      <c r="D20" s="5"/>
      <c r="E20" s="5"/>
      <c r="F20" s="5"/>
      <c r="G20" s="5"/>
      <c r="H20" s="5"/>
      <c r="I20" s="5"/>
      <c r="J20" s="5"/>
      <c r="K20" s="5"/>
      <c r="L20" s="5"/>
      <c r="M20" s="5"/>
      <c r="N20" s="5"/>
    </row>
    <row r="21" spans="1:14" s="7" customFormat="1" ht="12.75" x14ac:dyDescent="0.2">
      <c r="A21" s="105" t="s">
        <v>278</v>
      </c>
    </row>
    <row r="22" spans="1:14" s="7" customFormat="1" ht="12.75" x14ac:dyDescent="0.2">
      <c r="B22" s="9" t="s">
        <v>49</v>
      </c>
      <c r="C22" s="9" t="s">
        <v>50</v>
      </c>
      <c r="D22" s="9" t="s">
        <v>51</v>
      </c>
      <c r="E22" s="9" t="s">
        <v>52</v>
      </c>
      <c r="F22" s="9" t="s">
        <v>53</v>
      </c>
      <c r="G22" s="9" t="s">
        <v>308</v>
      </c>
      <c r="I22" s="11" t="s">
        <v>305</v>
      </c>
      <c r="J22" s="11" t="s">
        <v>306</v>
      </c>
      <c r="K22" s="6"/>
      <c r="L22" s="11" t="s">
        <v>307</v>
      </c>
      <c r="M22" s="12"/>
    </row>
    <row r="23" spans="1:14" s="7" customFormat="1" ht="13.5" thickBot="1" x14ac:dyDescent="0.25">
      <c r="B23" s="10" t="s">
        <v>54</v>
      </c>
      <c r="C23" s="10" t="s">
        <v>54</v>
      </c>
      <c r="D23" s="10" t="s">
        <v>54</v>
      </c>
      <c r="E23" s="10" t="s">
        <v>54</v>
      </c>
      <c r="F23" s="10" t="s">
        <v>54</v>
      </c>
      <c r="G23" s="10" t="s">
        <v>54</v>
      </c>
      <c r="I23" s="10" t="s">
        <v>54</v>
      </c>
      <c r="J23" s="10" t="s">
        <v>54</v>
      </c>
      <c r="K23" s="6"/>
      <c r="L23" s="10" t="s">
        <v>54</v>
      </c>
      <c r="M23" s="10" t="s">
        <v>55</v>
      </c>
    </row>
    <row r="24" spans="1:14" s="7" customFormat="1" ht="12.75" x14ac:dyDescent="0.2">
      <c r="A24" s="78" t="s">
        <v>1</v>
      </c>
    </row>
    <row r="25" spans="1:14" s="7" customFormat="1" ht="12.75" x14ac:dyDescent="0.2">
      <c r="A25" s="79" t="s">
        <v>2</v>
      </c>
      <c r="B25" s="47">
        <v>2.3199999999999998</v>
      </c>
      <c r="C25" s="47">
        <v>2.2799999999999998</v>
      </c>
      <c r="D25" s="47">
        <v>2.2799999999999998</v>
      </c>
      <c r="E25" s="47">
        <v>1.17</v>
      </c>
      <c r="F25" s="47">
        <v>0</v>
      </c>
      <c r="G25" s="47">
        <v>0</v>
      </c>
      <c r="H25" s="47"/>
      <c r="I25" s="47">
        <f>SUM(D25:E25)</f>
        <v>3.4499999999999997</v>
      </c>
      <c r="J25" s="47">
        <f>SUM(F25:G25)</f>
        <v>0</v>
      </c>
      <c r="L25" s="47">
        <f t="shared" ref="L25:L35" si="9">J25-I25</f>
        <v>-3.4499999999999997</v>
      </c>
      <c r="M25" s="29">
        <f t="shared" ref="M25:M35" si="10">+IF(I25&lt;&gt;0,IF(ABS((L25)/I25)&gt;1,"n/a ",(L25)/I25*SIGN(I25)),"n/a ")</f>
        <v>-1</v>
      </c>
    </row>
    <row r="26" spans="1:14" s="7" customFormat="1" ht="12.75" x14ac:dyDescent="0.2">
      <c r="A26" s="79" t="s">
        <v>3</v>
      </c>
      <c r="B26" s="47">
        <v>0</v>
      </c>
      <c r="C26" s="47">
        <v>0</v>
      </c>
      <c r="D26" s="47">
        <v>0</v>
      </c>
      <c r="E26" s="47">
        <v>0</v>
      </c>
      <c r="F26" s="47">
        <v>0</v>
      </c>
      <c r="G26" s="47">
        <v>0</v>
      </c>
      <c r="H26" s="47"/>
      <c r="I26" s="47">
        <f t="shared" ref="I26:I28" si="11">SUM(D26:E26)</f>
        <v>0</v>
      </c>
      <c r="J26" s="47">
        <f t="shared" ref="J26:J29" si="12">SUM(F26:G26)</f>
        <v>0</v>
      </c>
      <c r="L26" s="47">
        <f t="shared" si="9"/>
        <v>0</v>
      </c>
      <c r="M26" s="41" t="str">
        <f>+IF(I26&lt;&gt;0,IF(ABS((L26)/I26)&gt;1,"n/a ",(L26)/I26*SIGN(I26)),"n/a ")</f>
        <v xml:space="preserve">n/a </v>
      </c>
    </row>
    <row r="27" spans="1:14" s="7" customFormat="1" ht="12.75" x14ac:dyDescent="0.2">
      <c r="A27" s="79" t="s">
        <v>4</v>
      </c>
      <c r="B27" s="47">
        <v>-0.88</v>
      </c>
      <c r="C27" s="47">
        <v>-1.29</v>
      </c>
      <c r="D27" s="47">
        <v>-1.36</v>
      </c>
      <c r="E27" s="47">
        <v>-0.72</v>
      </c>
      <c r="F27" s="47">
        <v>0</v>
      </c>
      <c r="G27" s="47">
        <v>0</v>
      </c>
      <c r="H27" s="47"/>
      <c r="I27" s="47">
        <f t="shared" si="11"/>
        <v>-2.08</v>
      </c>
      <c r="J27" s="47">
        <f>SUM(F27:G27)</f>
        <v>0</v>
      </c>
      <c r="L27" s="47">
        <f>J27-I27</f>
        <v>2.08</v>
      </c>
      <c r="M27" s="29">
        <f>+IF(I27&lt;&gt;0,IF(ABS((L27)/I27)&gt;1,"n/a ",(L27)/I27*SIGN(I27)),"n/a ")</f>
        <v>1</v>
      </c>
    </row>
    <row r="28" spans="1:14" s="7" customFormat="1" ht="12.75" x14ac:dyDescent="0.2">
      <c r="A28" s="79" t="s">
        <v>5</v>
      </c>
      <c r="B28" s="47">
        <v>-0.01</v>
      </c>
      <c r="C28" s="47">
        <v>0</v>
      </c>
      <c r="D28" s="47">
        <v>-0.01</v>
      </c>
      <c r="E28" s="47">
        <v>-0.01</v>
      </c>
      <c r="F28" s="47">
        <v>0</v>
      </c>
      <c r="G28" s="47">
        <v>0</v>
      </c>
      <c r="H28" s="47"/>
      <c r="I28" s="47">
        <f t="shared" si="11"/>
        <v>-0.02</v>
      </c>
      <c r="J28" s="47">
        <f t="shared" si="12"/>
        <v>0</v>
      </c>
      <c r="L28" s="47">
        <f>J28-I28</f>
        <v>0.02</v>
      </c>
      <c r="M28" s="29">
        <f t="shared" si="10"/>
        <v>1</v>
      </c>
    </row>
    <row r="29" spans="1:14" s="7" customFormat="1" ht="12.75" x14ac:dyDescent="0.2">
      <c r="A29" s="79" t="s">
        <v>6</v>
      </c>
      <c r="B29" s="48">
        <v>0</v>
      </c>
      <c r="C29" s="48">
        <v>0</v>
      </c>
      <c r="D29" s="48">
        <v>0</v>
      </c>
      <c r="E29" s="48">
        <v>0</v>
      </c>
      <c r="F29" s="48">
        <v>0</v>
      </c>
      <c r="G29" s="48">
        <v>0</v>
      </c>
      <c r="H29" s="47"/>
      <c r="I29" s="48">
        <f>SUM(D29:E29)</f>
        <v>0</v>
      </c>
      <c r="J29" s="48">
        <f t="shared" si="12"/>
        <v>0</v>
      </c>
      <c r="K29" s="42"/>
      <c r="L29" s="55">
        <f t="shared" si="9"/>
        <v>0</v>
      </c>
      <c r="M29" s="43" t="str">
        <f t="shared" si="10"/>
        <v xml:space="preserve">n/a </v>
      </c>
    </row>
    <row r="30" spans="1:14" s="7" customFormat="1" ht="12.75" x14ac:dyDescent="0.2">
      <c r="A30" s="78" t="s">
        <v>7</v>
      </c>
      <c r="B30" s="50">
        <f>SUM(B25:B29)</f>
        <v>1.43</v>
      </c>
      <c r="C30" s="50">
        <f t="shared" ref="C30:E30" si="13">SUM(C25:C29)</f>
        <v>0.98999999999999977</v>
      </c>
      <c r="D30" s="50">
        <f t="shared" si="13"/>
        <v>0.9099999999999997</v>
      </c>
      <c r="E30" s="50">
        <f t="shared" si="13"/>
        <v>0.43999999999999995</v>
      </c>
      <c r="F30" s="50">
        <f t="shared" ref="F30:J30" si="14">SUM(F25:F29)</f>
        <v>0</v>
      </c>
      <c r="G30" s="50">
        <f t="shared" si="14"/>
        <v>0</v>
      </c>
      <c r="H30" s="47"/>
      <c r="I30" s="50">
        <f>SUM(I25:I29)</f>
        <v>1.3499999999999996</v>
      </c>
      <c r="J30" s="50">
        <f t="shared" si="14"/>
        <v>0</v>
      </c>
      <c r="K30" s="40"/>
      <c r="L30" s="56">
        <f t="shared" si="9"/>
        <v>-1.3499999999999996</v>
      </c>
      <c r="M30" s="39">
        <f t="shared" si="10"/>
        <v>-1</v>
      </c>
    </row>
    <row r="31" spans="1:14" s="7" customFormat="1" ht="12.75" x14ac:dyDescent="0.2">
      <c r="A31" s="78"/>
      <c r="B31" s="50"/>
      <c r="C31" s="50"/>
      <c r="D31" s="50"/>
      <c r="E31" s="50"/>
      <c r="F31" s="50"/>
      <c r="G31" s="50"/>
      <c r="H31" s="47"/>
      <c r="I31" s="50"/>
      <c r="J31" s="50"/>
      <c r="K31" s="40"/>
      <c r="L31" s="56"/>
      <c r="M31" s="39"/>
    </row>
    <row r="32" spans="1:14" s="7" customFormat="1" ht="12.75" x14ac:dyDescent="0.2">
      <c r="A32" s="79" t="s">
        <v>8</v>
      </c>
      <c r="B32" s="47">
        <v>-6.1070220000000008E-2</v>
      </c>
      <c r="C32" s="47">
        <v>-5.1744209999999999E-2</v>
      </c>
      <c r="D32" s="47">
        <v>-5.7164689999999997E-2</v>
      </c>
      <c r="E32" s="47">
        <v>-3.3085159999999947E-2</v>
      </c>
      <c r="F32" s="47">
        <v>0</v>
      </c>
      <c r="G32" s="47">
        <v>0</v>
      </c>
      <c r="H32" s="47"/>
      <c r="I32" s="47">
        <f t="shared" ref="I32" si="15">SUM(D32:E32)</f>
        <v>-9.0249849999999937E-2</v>
      </c>
      <c r="J32" s="47">
        <f>SUM(F32:G32)</f>
        <v>0</v>
      </c>
      <c r="K32" s="42"/>
      <c r="L32" s="57">
        <f>J32-I32</f>
        <v>9.0249849999999937E-2</v>
      </c>
      <c r="M32" s="41">
        <f>+IF(I32&lt;&gt;0,IF(ABS((L32)/I32)&gt;1,"n/a ",(L32)/I32*SIGN(I32)),"n/a ")</f>
        <v>1</v>
      </c>
    </row>
    <row r="33" spans="1:14" s="7" customFormat="1" ht="12.75" x14ac:dyDescent="0.2">
      <c r="A33" s="79" t="s">
        <v>15</v>
      </c>
      <c r="B33" s="47">
        <v>0</v>
      </c>
      <c r="C33" s="47">
        <v>0</v>
      </c>
      <c r="D33" s="47">
        <v>0</v>
      </c>
      <c r="E33" s="47">
        <v>0</v>
      </c>
      <c r="F33" s="47">
        <v>0</v>
      </c>
      <c r="G33" s="47">
        <v>0</v>
      </c>
      <c r="H33" s="47"/>
      <c r="I33" s="47">
        <f>SUM(D33:E33)</f>
        <v>0</v>
      </c>
      <c r="J33" s="47">
        <f>SUM(F33:G33)</f>
        <v>0</v>
      </c>
      <c r="K33" s="42"/>
      <c r="L33" s="57">
        <f t="shared" si="9"/>
        <v>0</v>
      </c>
      <c r="M33" s="41" t="str">
        <f>+IF(I33&lt;&gt;0,IF(ABS((L33)/I33)&gt;1,"n/a ",(L33)/I33*SIGN(I33)),"n/a ")</f>
        <v xml:space="preserve">n/a </v>
      </c>
    </row>
    <row r="34" spans="1:14" s="7" customFormat="1" ht="12.75" x14ac:dyDescent="0.2">
      <c r="A34" s="79" t="s">
        <v>259</v>
      </c>
      <c r="B34" s="47">
        <v>-0.66</v>
      </c>
      <c r="C34" s="47">
        <v>-0.7</v>
      </c>
      <c r="D34" s="47">
        <v>-0.56000000000000005</v>
      </c>
      <c r="E34" s="47">
        <v>-0.44</v>
      </c>
      <c r="F34" s="47">
        <v>0</v>
      </c>
      <c r="G34" s="47">
        <v>0</v>
      </c>
      <c r="H34" s="47"/>
      <c r="I34" s="47">
        <f>SUM(D34:E34)</f>
        <v>-1</v>
      </c>
      <c r="J34" s="47">
        <f t="shared" ref="J34" si="16">SUM(F34:G34)</f>
        <v>0</v>
      </c>
      <c r="K34" s="42"/>
      <c r="L34" s="57">
        <f>J34-I34</f>
        <v>1</v>
      </c>
      <c r="M34" s="41">
        <f t="shared" si="10"/>
        <v>1</v>
      </c>
    </row>
    <row r="35" spans="1:14" s="7" customFormat="1" ht="13.5" thickBot="1" x14ac:dyDescent="0.25">
      <c r="A35" s="78" t="s">
        <v>276</v>
      </c>
      <c r="B35" s="53">
        <v>0.7078051999999998</v>
      </c>
      <c r="C35" s="53">
        <v>0.23581447999999983</v>
      </c>
      <c r="D35" s="53">
        <v>0.29454013999999973</v>
      </c>
      <c r="E35" s="53">
        <v>-0.13440300999999996</v>
      </c>
      <c r="F35" s="53">
        <f t="shared" ref="F35:J35" si="17">SUM(F30:F34)</f>
        <v>0</v>
      </c>
      <c r="G35" s="53">
        <f t="shared" si="17"/>
        <v>0</v>
      </c>
      <c r="H35" s="47"/>
      <c r="I35" s="53">
        <f>SUM(I30:I34)</f>
        <v>0.25975014999999968</v>
      </c>
      <c r="J35" s="53">
        <f t="shared" si="17"/>
        <v>0</v>
      </c>
      <c r="K35" s="40"/>
      <c r="L35" s="58">
        <f t="shared" si="9"/>
        <v>-0.25975014999999968</v>
      </c>
      <c r="M35" s="44">
        <f t="shared" si="10"/>
        <v>-1</v>
      </c>
    </row>
    <row r="36" spans="1:14" ht="15" thickTop="1" x14ac:dyDescent="0.2"/>
    <row r="37" spans="1:14" ht="18" x14ac:dyDescent="0.25">
      <c r="A37" s="4" t="s">
        <v>273</v>
      </c>
      <c r="B37" s="5"/>
      <c r="C37" s="5"/>
      <c r="D37" s="5"/>
      <c r="E37" s="5"/>
      <c r="F37" s="5"/>
      <c r="G37" s="5"/>
      <c r="H37" s="5"/>
      <c r="I37" s="5"/>
      <c r="J37" s="5"/>
      <c r="K37" s="5"/>
      <c r="L37" s="5"/>
      <c r="M37" s="5"/>
      <c r="N37" s="5"/>
    </row>
    <row r="38" spans="1:14" s="7" customFormat="1" ht="12.75" x14ac:dyDescent="0.2">
      <c r="A38" s="105" t="s">
        <v>280</v>
      </c>
    </row>
    <row r="39" spans="1:14" s="7" customFormat="1" ht="12.75" x14ac:dyDescent="0.2">
      <c r="B39" s="9" t="s">
        <v>49</v>
      </c>
      <c r="C39" s="9" t="s">
        <v>50</v>
      </c>
      <c r="D39" s="9" t="s">
        <v>51</v>
      </c>
      <c r="E39" s="9" t="s">
        <v>52</v>
      </c>
      <c r="F39" s="9" t="s">
        <v>53</v>
      </c>
      <c r="G39" s="9" t="s">
        <v>308</v>
      </c>
      <c r="I39" s="11" t="s">
        <v>305</v>
      </c>
      <c r="J39" s="11" t="s">
        <v>306</v>
      </c>
      <c r="K39" s="6"/>
      <c r="L39" s="11" t="s">
        <v>307</v>
      </c>
      <c r="M39" s="12"/>
    </row>
    <row r="40" spans="1:14" s="7" customFormat="1" ht="13.5" thickBot="1" x14ac:dyDescent="0.25">
      <c r="B40" s="10" t="s">
        <v>54</v>
      </c>
      <c r="C40" s="10" t="s">
        <v>54</v>
      </c>
      <c r="D40" s="10" t="s">
        <v>54</v>
      </c>
      <c r="E40" s="10" t="s">
        <v>54</v>
      </c>
      <c r="F40" s="10" t="s">
        <v>54</v>
      </c>
      <c r="G40" s="10" t="s">
        <v>54</v>
      </c>
      <c r="I40" s="10" t="s">
        <v>54</v>
      </c>
      <c r="J40" s="10" t="s">
        <v>54</v>
      </c>
      <c r="K40" s="6"/>
      <c r="L40" s="10" t="s">
        <v>54</v>
      </c>
      <c r="M40" s="10" t="s">
        <v>55</v>
      </c>
    </row>
    <row r="41" spans="1:14" s="7" customFormat="1" ht="12.75" x14ac:dyDescent="0.2">
      <c r="A41" s="78" t="s">
        <v>1</v>
      </c>
    </row>
    <row r="42" spans="1:14" s="7" customFormat="1" ht="12.75" x14ac:dyDescent="0.2">
      <c r="A42" s="79" t="s">
        <v>2</v>
      </c>
      <c r="B42" s="47">
        <v>32.6</v>
      </c>
      <c r="C42" s="47">
        <v>32.770000000000003</v>
      </c>
      <c r="D42" s="47">
        <v>17.68</v>
      </c>
      <c r="E42" s="47">
        <v>0</v>
      </c>
      <c r="F42" s="47">
        <v>0</v>
      </c>
      <c r="G42" s="47">
        <v>0</v>
      </c>
      <c r="H42" s="47"/>
      <c r="I42" s="47">
        <f>SUM(D42:E42)</f>
        <v>17.68</v>
      </c>
      <c r="J42" s="47">
        <f>SUM(F42:G42)</f>
        <v>0</v>
      </c>
      <c r="L42" s="47">
        <f t="shared" ref="L42:L52" si="18">J42-I42</f>
        <v>-17.68</v>
      </c>
      <c r="M42" s="29">
        <f t="shared" ref="M42:M52" si="19">+IF(I42&lt;&gt;0,IF(ABS((L42)/I42)&gt;1,"n/a ",(L42)/I42*SIGN(I42)),"n/a ")</f>
        <v>-1</v>
      </c>
    </row>
    <row r="43" spans="1:14" s="7" customFormat="1" ht="12.75" x14ac:dyDescent="0.2">
      <c r="A43" s="79" t="s">
        <v>3</v>
      </c>
      <c r="B43" s="47">
        <v>0</v>
      </c>
      <c r="C43" s="47">
        <v>0</v>
      </c>
      <c r="D43" s="47">
        <v>0</v>
      </c>
      <c r="E43" s="47">
        <v>0</v>
      </c>
      <c r="F43" s="47">
        <v>0</v>
      </c>
      <c r="G43" s="47">
        <v>0</v>
      </c>
      <c r="H43" s="47"/>
      <c r="I43" s="47">
        <f t="shared" ref="I43:I45" si="20">SUM(D43:E43)</f>
        <v>0</v>
      </c>
      <c r="J43" s="47">
        <f t="shared" ref="J43:J46" si="21">SUM(F43:G43)</f>
        <v>0</v>
      </c>
      <c r="L43" s="47">
        <f t="shared" si="18"/>
        <v>0</v>
      </c>
      <c r="M43" s="41" t="str">
        <f>+IF(I43&lt;&gt;0,IF(ABS((L43)/I43)&gt;1,"n/a ",(L43)/I43*SIGN(I43)),"n/a ")</f>
        <v xml:space="preserve">n/a </v>
      </c>
    </row>
    <row r="44" spans="1:14" s="7" customFormat="1" ht="12.75" x14ac:dyDescent="0.2">
      <c r="A44" s="79" t="s">
        <v>4</v>
      </c>
      <c r="B44" s="47">
        <v>-17.41</v>
      </c>
      <c r="C44" s="47">
        <v>-17.62</v>
      </c>
      <c r="D44" s="47">
        <v>-9.56</v>
      </c>
      <c r="E44" s="47">
        <v>0</v>
      </c>
      <c r="F44" s="47">
        <v>0</v>
      </c>
      <c r="G44" s="47">
        <v>0</v>
      </c>
      <c r="H44" s="47"/>
      <c r="I44" s="47">
        <f t="shared" si="20"/>
        <v>-9.56</v>
      </c>
      <c r="J44" s="47">
        <f>SUM(F44:G44)</f>
        <v>0</v>
      </c>
      <c r="L44" s="47">
        <f>J44-I44</f>
        <v>9.56</v>
      </c>
      <c r="M44" s="29">
        <f>+IF(I44&lt;&gt;0,IF(ABS((L44)/I44)&gt;1,"n/a ",(L44)/I44*SIGN(I44)),"n/a ")</f>
        <v>1</v>
      </c>
    </row>
    <row r="45" spans="1:14" s="7" customFormat="1" ht="12.75" x14ac:dyDescent="0.2">
      <c r="A45" s="79" t="s">
        <v>5</v>
      </c>
      <c r="B45" s="47">
        <v>-0.19</v>
      </c>
      <c r="C45" s="47">
        <v>0.06</v>
      </c>
      <c r="D45" s="47">
        <v>-4.9000000000000002E-2</v>
      </c>
      <c r="E45" s="47">
        <v>0</v>
      </c>
      <c r="F45" s="47">
        <v>0</v>
      </c>
      <c r="G45" s="47">
        <v>0</v>
      </c>
      <c r="H45" s="47"/>
      <c r="I45" s="47">
        <f t="shared" si="20"/>
        <v>-4.9000000000000002E-2</v>
      </c>
      <c r="J45" s="47">
        <f t="shared" si="21"/>
        <v>0</v>
      </c>
      <c r="L45" s="47">
        <f>J45-I45</f>
        <v>4.9000000000000002E-2</v>
      </c>
      <c r="M45" s="29">
        <f t="shared" si="19"/>
        <v>1</v>
      </c>
    </row>
    <row r="46" spans="1:14" s="7" customFormat="1" ht="12.75" x14ac:dyDescent="0.2">
      <c r="A46" s="79" t="s">
        <v>6</v>
      </c>
      <c r="B46" s="48">
        <v>0</v>
      </c>
      <c r="C46" s="48">
        <v>0</v>
      </c>
      <c r="D46" s="48">
        <v>0</v>
      </c>
      <c r="E46" s="48">
        <v>0</v>
      </c>
      <c r="F46" s="48">
        <v>0</v>
      </c>
      <c r="G46" s="48">
        <v>0</v>
      </c>
      <c r="H46" s="47"/>
      <c r="I46" s="48">
        <f>SUM(D46:E46)</f>
        <v>0</v>
      </c>
      <c r="J46" s="48">
        <f t="shared" si="21"/>
        <v>0</v>
      </c>
      <c r="K46" s="42"/>
      <c r="L46" s="55">
        <f t="shared" si="18"/>
        <v>0</v>
      </c>
      <c r="M46" s="43" t="str">
        <f t="shared" si="19"/>
        <v xml:space="preserve">n/a </v>
      </c>
    </row>
    <row r="47" spans="1:14" s="7" customFormat="1" ht="12.75" x14ac:dyDescent="0.2">
      <c r="A47" s="78" t="s">
        <v>7</v>
      </c>
      <c r="B47" s="50">
        <f>SUM(B42:B46)</f>
        <v>15.000000000000002</v>
      </c>
      <c r="C47" s="50">
        <f t="shared" ref="C47:E47" si="22">SUM(C42:C46)</f>
        <v>15.210000000000003</v>
      </c>
      <c r="D47" s="50">
        <f t="shared" si="22"/>
        <v>8.0709999999999997</v>
      </c>
      <c r="E47" s="50">
        <f t="shared" si="22"/>
        <v>0</v>
      </c>
      <c r="F47" s="50">
        <f t="shared" ref="F47:J47" si="23">SUM(F42:F46)</f>
        <v>0</v>
      </c>
      <c r="G47" s="50">
        <f t="shared" si="23"/>
        <v>0</v>
      </c>
      <c r="H47" s="47"/>
      <c r="I47" s="50">
        <f>SUM(I42:I46)</f>
        <v>8.0709999999999997</v>
      </c>
      <c r="J47" s="50">
        <f t="shared" si="23"/>
        <v>0</v>
      </c>
      <c r="K47" s="40"/>
      <c r="L47" s="56">
        <f t="shared" si="18"/>
        <v>-8.0709999999999997</v>
      </c>
      <c r="M47" s="39">
        <f t="shared" si="19"/>
        <v>-1</v>
      </c>
    </row>
    <row r="48" spans="1:14" s="7" customFormat="1" ht="12.75" x14ac:dyDescent="0.2">
      <c r="A48" s="78"/>
      <c r="B48" s="50"/>
      <c r="C48" s="50"/>
      <c r="D48" s="50"/>
      <c r="E48" s="50"/>
      <c r="F48" s="50"/>
      <c r="G48" s="50"/>
      <c r="H48" s="47"/>
      <c r="I48" s="50"/>
      <c r="J48" s="50"/>
      <c r="K48" s="40"/>
      <c r="L48" s="56"/>
      <c r="M48" s="39"/>
    </row>
    <row r="49" spans="1:14" s="7" customFormat="1" ht="12.75" x14ac:dyDescent="0.2">
      <c r="A49" s="79" t="s">
        <v>8</v>
      </c>
      <c r="B49" s="47">
        <v>17.36</v>
      </c>
      <c r="C49" s="47">
        <v>20.36</v>
      </c>
      <c r="D49" s="47">
        <v>11.25</v>
      </c>
      <c r="E49" s="47">
        <v>0</v>
      </c>
      <c r="F49" s="47">
        <v>0</v>
      </c>
      <c r="G49" s="47">
        <v>0</v>
      </c>
      <c r="H49" s="47"/>
      <c r="I49" s="47">
        <f t="shared" ref="I49" si="24">SUM(D49:E49)</f>
        <v>11.25</v>
      </c>
      <c r="J49" s="47">
        <f>SUM(F49:G49)</f>
        <v>0</v>
      </c>
      <c r="K49" s="42"/>
      <c r="L49" s="57">
        <f>J49-I49</f>
        <v>-11.25</v>
      </c>
      <c r="M49" s="41">
        <f>+IF(I49&lt;&gt;0,IF(ABS((L49)/I49)&gt;1,"n/a ",(L49)/I49*SIGN(I49)),"n/a ")</f>
        <v>-1</v>
      </c>
    </row>
    <row r="50" spans="1:14" s="7" customFormat="1" ht="12.75" x14ac:dyDescent="0.2">
      <c r="A50" s="79" t="s">
        <v>15</v>
      </c>
      <c r="B50" s="47">
        <v>0</v>
      </c>
      <c r="C50" s="47">
        <v>0</v>
      </c>
      <c r="D50" s="47">
        <v>0</v>
      </c>
      <c r="E50" s="47">
        <v>0</v>
      </c>
      <c r="F50" s="47">
        <v>0</v>
      </c>
      <c r="G50" s="47">
        <v>0</v>
      </c>
      <c r="H50" s="47"/>
      <c r="I50" s="47">
        <f>SUM(D50:E50)</f>
        <v>0</v>
      </c>
      <c r="J50" s="47">
        <f>SUM(F50:G50)</f>
        <v>0</v>
      </c>
      <c r="K50" s="42"/>
      <c r="L50" s="57">
        <f t="shared" si="18"/>
        <v>0</v>
      </c>
      <c r="M50" s="41" t="str">
        <f>+IF(I50&lt;&gt;0,IF(ABS((L50)/I50)&gt;1,"n/a ",(L50)/I50*SIGN(I50)),"n/a ")</f>
        <v xml:space="preserve">n/a </v>
      </c>
    </row>
    <row r="51" spans="1:14" s="7" customFormat="1" ht="12.75" x14ac:dyDescent="0.2">
      <c r="A51" s="79" t="s">
        <v>259</v>
      </c>
      <c r="B51" s="47">
        <v>-19.239999999999998</v>
      </c>
      <c r="C51" s="47">
        <v>-21.94</v>
      </c>
      <c r="D51" s="47">
        <v>-10.54</v>
      </c>
      <c r="E51" s="47">
        <v>0</v>
      </c>
      <c r="F51" s="47">
        <v>0</v>
      </c>
      <c r="G51" s="47">
        <v>0</v>
      </c>
      <c r="H51" s="47"/>
      <c r="I51" s="47">
        <f>SUM(D51:E51)</f>
        <v>-10.54</v>
      </c>
      <c r="J51" s="47">
        <f t="shared" ref="J51" si="25">SUM(F51:G51)</f>
        <v>0</v>
      </c>
      <c r="K51" s="42"/>
      <c r="L51" s="57">
        <f>J51-I51</f>
        <v>10.54</v>
      </c>
      <c r="M51" s="41">
        <f t="shared" si="19"/>
        <v>1</v>
      </c>
    </row>
    <row r="52" spans="1:14" s="7" customFormat="1" ht="13.5" thickBot="1" x14ac:dyDescent="0.25">
      <c r="A52" s="78" t="s">
        <v>276</v>
      </c>
      <c r="B52" s="53">
        <f>SUM(B47:B51)</f>
        <v>13.120000000000001</v>
      </c>
      <c r="C52" s="53">
        <f t="shared" ref="C52:J52" si="26">SUM(C47:C51)</f>
        <v>13.629999999999999</v>
      </c>
      <c r="D52" s="53">
        <f t="shared" si="26"/>
        <v>8.7809999999999988</v>
      </c>
      <c r="E52" s="53">
        <f t="shared" si="26"/>
        <v>0</v>
      </c>
      <c r="F52" s="53">
        <f t="shared" si="26"/>
        <v>0</v>
      </c>
      <c r="G52" s="53">
        <f t="shared" si="26"/>
        <v>0</v>
      </c>
      <c r="H52" s="47"/>
      <c r="I52" s="53">
        <f>SUM(I47:I51)</f>
        <v>8.7809999999999988</v>
      </c>
      <c r="J52" s="53">
        <f t="shared" si="26"/>
        <v>0</v>
      </c>
      <c r="K52" s="40"/>
      <c r="L52" s="58">
        <f t="shared" si="18"/>
        <v>-8.7809999999999988</v>
      </c>
      <c r="M52" s="44">
        <f t="shared" si="19"/>
        <v>-1</v>
      </c>
    </row>
    <row r="53" spans="1:14" ht="15" thickTop="1" x14ac:dyDescent="0.2"/>
    <row r="54" spans="1:14" ht="18" x14ac:dyDescent="0.25">
      <c r="A54" s="4" t="s">
        <v>274</v>
      </c>
      <c r="B54" s="5"/>
      <c r="C54" s="5"/>
      <c r="D54" s="5"/>
      <c r="E54" s="5"/>
      <c r="F54" s="5"/>
      <c r="G54" s="5"/>
      <c r="H54" s="5"/>
      <c r="I54" s="5"/>
      <c r="J54" s="5"/>
      <c r="K54" s="5"/>
      <c r="L54" s="5"/>
      <c r="M54" s="5"/>
      <c r="N54" s="5"/>
    </row>
    <row r="55" spans="1:14" s="7" customFormat="1" ht="12.75" x14ac:dyDescent="0.2">
      <c r="A55" s="105" t="s">
        <v>281</v>
      </c>
    </row>
    <row r="56" spans="1:14" s="7" customFormat="1" ht="12.75" x14ac:dyDescent="0.2">
      <c r="B56" s="9" t="s">
        <v>49</v>
      </c>
      <c r="C56" s="9" t="s">
        <v>50</v>
      </c>
      <c r="D56" s="9" t="s">
        <v>51</v>
      </c>
      <c r="E56" s="9" t="s">
        <v>52</v>
      </c>
      <c r="F56" s="9" t="s">
        <v>53</v>
      </c>
      <c r="G56" s="9" t="s">
        <v>308</v>
      </c>
      <c r="I56" s="11" t="s">
        <v>305</v>
      </c>
      <c r="J56" s="11" t="s">
        <v>306</v>
      </c>
      <c r="K56" s="6"/>
      <c r="L56" s="11" t="s">
        <v>307</v>
      </c>
      <c r="M56" s="12"/>
    </row>
    <row r="57" spans="1:14" s="7" customFormat="1" ht="13.5" thickBot="1" x14ac:dyDescent="0.25">
      <c r="A57" s="81"/>
      <c r="B57" s="10" t="s">
        <v>54</v>
      </c>
      <c r="C57" s="10" t="s">
        <v>54</v>
      </c>
      <c r="D57" s="10" t="s">
        <v>54</v>
      </c>
      <c r="E57" s="10" t="s">
        <v>54</v>
      </c>
      <c r="F57" s="10" t="s">
        <v>54</v>
      </c>
      <c r="G57" s="10" t="s">
        <v>54</v>
      </c>
      <c r="I57" s="10" t="s">
        <v>54</v>
      </c>
      <c r="J57" s="10" t="s">
        <v>54</v>
      </c>
      <c r="K57" s="6"/>
      <c r="L57" s="10" t="s">
        <v>54</v>
      </c>
      <c r="M57" s="10" t="s">
        <v>55</v>
      </c>
    </row>
    <row r="58" spans="1:14" s="7" customFormat="1" ht="12.75" x14ac:dyDescent="0.2">
      <c r="A58" s="78" t="s">
        <v>1</v>
      </c>
    </row>
    <row r="59" spans="1:14" s="7" customFormat="1" ht="12.75" x14ac:dyDescent="0.2">
      <c r="A59" s="79" t="s">
        <v>2</v>
      </c>
      <c r="B59" s="47">
        <v>0</v>
      </c>
      <c r="C59" s="47">
        <v>0</v>
      </c>
      <c r="D59" s="47">
        <v>0</v>
      </c>
      <c r="E59" s="47">
        <v>0</v>
      </c>
      <c r="F59" s="47">
        <v>0</v>
      </c>
      <c r="G59" s="47">
        <v>0</v>
      </c>
      <c r="H59" s="47"/>
      <c r="I59" s="47">
        <f>SUM(D59:E59)</f>
        <v>0</v>
      </c>
      <c r="J59" s="47">
        <f>SUM(F59:G59)</f>
        <v>0</v>
      </c>
      <c r="L59" s="47">
        <f t="shared" ref="L59:L69" si="27">J59-I59</f>
        <v>0</v>
      </c>
      <c r="M59" s="29" t="str">
        <f t="shared" ref="M59:M69" si="28">+IF(I59&lt;&gt;0,IF(ABS((L59)/I59)&gt;1,"n/a ",(L59)/I59*SIGN(I59)),"n/a ")</f>
        <v xml:space="preserve">n/a </v>
      </c>
    </row>
    <row r="60" spans="1:14" s="7" customFormat="1" ht="12.75" x14ac:dyDescent="0.2">
      <c r="A60" s="79" t="s">
        <v>3</v>
      </c>
      <c r="B60" s="47">
        <v>0</v>
      </c>
      <c r="C60" s="47">
        <v>0</v>
      </c>
      <c r="D60" s="47">
        <v>0</v>
      </c>
      <c r="E60" s="47">
        <v>0</v>
      </c>
      <c r="F60" s="47">
        <v>0</v>
      </c>
      <c r="G60" s="47">
        <v>0</v>
      </c>
      <c r="H60" s="47"/>
      <c r="I60" s="47">
        <f t="shared" ref="I60:I62" si="29">SUM(D60:E60)</f>
        <v>0</v>
      </c>
      <c r="J60" s="47">
        <f t="shared" ref="J60:J63" si="30">SUM(F60:G60)</f>
        <v>0</v>
      </c>
      <c r="L60" s="47">
        <f t="shared" si="27"/>
        <v>0</v>
      </c>
      <c r="M60" s="41" t="str">
        <f>+IF(I60&lt;&gt;0,IF(ABS((L60)/I60)&gt;1,"n/a ",(L60)/I60*SIGN(I60)),"n/a ")</f>
        <v xml:space="preserve">n/a </v>
      </c>
    </row>
    <row r="61" spans="1:14" s="7" customFormat="1" ht="12.75" x14ac:dyDescent="0.2">
      <c r="A61" s="79" t="s">
        <v>4</v>
      </c>
      <c r="B61" s="47">
        <v>0</v>
      </c>
      <c r="C61" s="47">
        <v>0</v>
      </c>
      <c r="D61" s="47">
        <v>0</v>
      </c>
      <c r="E61" s="47">
        <v>0</v>
      </c>
      <c r="F61" s="47">
        <v>0</v>
      </c>
      <c r="G61" s="47">
        <v>0</v>
      </c>
      <c r="H61" s="47"/>
      <c r="I61" s="47">
        <f t="shared" si="29"/>
        <v>0</v>
      </c>
      <c r="J61" s="47">
        <f>SUM(F61:G61)</f>
        <v>0</v>
      </c>
      <c r="L61" s="47">
        <f>J61-I61</f>
        <v>0</v>
      </c>
      <c r="M61" s="29" t="str">
        <f>+IF(I61&lt;&gt;0,IF(ABS((L61)/I61)&gt;1,"n/a ",(L61)/I61*SIGN(I61)),"n/a ")</f>
        <v xml:space="preserve">n/a </v>
      </c>
    </row>
    <row r="62" spans="1:14" s="7" customFormat="1" ht="12.75" x14ac:dyDescent="0.2">
      <c r="A62" s="79" t="s">
        <v>5</v>
      </c>
      <c r="B62" s="47">
        <v>0</v>
      </c>
      <c r="C62" s="47">
        <v>0</v>
      </c>
      <c r="D62" s="47">
        <v>0</v>
      </c>
      <c r="E62" s="47">
        <v>0</v>
      </c>
      <c r="F62" s="47">
        <v>0</v>
      </c>
      <c r="G62" s="47">
        <v>0</v>
      </c>
      <c r="H62" s="47"/>
      <c r="I62" s="47">
        <f t="shared" si="29"/>
        <v>0</v>
      </c>
      <c r="J62" s="47">
        <f t="shared" si="30"/>
        <v>0</v>
      </c>
      <c r="L62" s="47">
        <f>J62-I62</f>
        <v>0</v>
      </c>
      <c r="M62" s="29" t="str">
        <f t="shared" si="28"/>
        <v xml:space="preserve">n/a </v>
      </c>
    </row>
    <row r="63" spans="1:14" s="7" customFormat="1" ht="12.75" x14ac:dyDescent="0.2">
      <c r="A63" s="79" t="s">
        <v>6</v>
      </c>
      <c r="B63" s="48">
        <v>0</v>
      </c>
      <c r="C63" s="48">
        <v>0</v>
      </c>
      <c r="D63" s="48">
        <v>0</v>
      </c>
      <c r="E63" s="48">
        <v>0</v>
      </c>
      <c r="F63" s="48">
        <v>0</v>
      </c>
      <c r="G63" s="48">
        <v>0</v>
      </c>
      <c r="H63" s="47"/>
      <c r="I63" s="48">
        <f>SUM(D63:E63)</f>
        <v>0</v>
      </c>
      <c r="J63" s="48">
        <f t="shared" si="30"/>
        <v>0</v>
      </c>
      <c r="K63" s="42"/>
      <c r="L63" s="55">
        <f t="shared" si="27"/>
        <v>0</v>
      </c>
      <c r="M63" s="43" t="str">
        <f t="shared" si="28"/>
        <v xml:space="preserve">n/a </v>
      </c>
    </row>
    <row r="64" spans="1:14" s="7" customFormat="1" ht="12.75" x14ac:dyDescent="0.2">
      <c r="A64" s="78" t="s">
        <v>7</v>
      </c>
      <c r="B64" s="50">
        <f>SUM(B59:B63)</f>
        <v>0</v>
      </c>
      <c r="C64" s="50">
        <f t="shared" ref="C64:J64" si="31">SUM(C59:C63)</f>
        <v>0</v>
      </c>
      <c r="D64" s="50">
        <f t="shared" si="31"/>
        <v>0</v>
      </c>
      <c r="E64" s="50">
        <f t="shared" si="31"/>
        <v>0</v>
      </c>
      <c r="F64" s="50">
        <f t="shared" si="31"/>
        <v>0</v>
      </c>
      <c r="G64" s="50">
        <f t="shared" si="31"/>
        <v>0</v>
      </c>
      <c r="H64" s="47"/>
      <c r="I64" s="50">
        <f>SUM(I59:I63)</f>
        <v>0</v>
      </c>
      <c r="J64" s="50">
        <f t="shared" si="31"/>
        <v>0</v>
      </c>
      <c r="K64" s="40"/>
      <c r="L64" s="56">
        <f t="shared" si="27"/>
        <v>0</v>
      </c>
      <c r="M64" s="39" t="str">
        <f t="shared" si="28"/>
        <v xml:space="preserve">n/a </v>
      </c>
    </row>
    <row r="65" spans="1:13" s="7" customFormat="1" ht="12.75" x14ac:dyDescent="0.2">
      <c r="A65" s="78"/>
      <c r="B65" s="50"/>
      <c r="C65" s="50"/>
      <c r="D65" s="50"/>
      <c r="E65" s="50"/>
      <c r="F65" s="50"/>
      <c r="G65" s="50"/>
      <c r="H65" s="47"/>
      <c r="I65" s="50"/>
      <c r="J65" s="50"/>
      <c r="K65" s="40"/>
      <c r="L65" s="56"/>
      <c r="M65" s="39"/>
    </row>
    <row r="66" spans="1:13" s="7" customFormat="1" ht="12.75" x14ac:dyDescent="0.2">
      <c r="A66" s="79" t="s">
        <v>8</v>
      </c>
      <c r="B66" s="47">
        <v>0</v>
      </c>
      <c r="C66" s="47">
        <v>0</v>
      </c>
      <c r="D66" s="47">
        <v>0</v>
      </c>
      <c r="E66" s="47">
        <v>0</v>
      </c>
      <c r="F66" s="47">
        <v>0</v>
      </c>
      <c r="G66" s="47">
        <v>0</v>
      </c>
      <c r="H66" s="47"/>
      <c r="I66" s="47">
        <f t="shared" ref="I66" si="32">SUM(D66:E66)</f>
        <v>0</v>
      </c>
      <c r="J66" s="47">
        <f>SUM(F66:G66)</f>
        <v>0</v>
      </c>
      <c r="K66" s="42"/>
      <c r="L66" s="57">
        <f>J66-I66</f>
        <v>0</v>
      </c>
      <c r="M66" s="41" t="str">
        <f>+IF(I66&lt;&gt;0,IF(ABS((L66)/I66)&gt;1,"n/a ",(L66)/I66*SIGN(I66)),"n/a ")</f>
        <v xml:space="preserve">n/a </v>
      </c>
    </row>
    <row r="67" spans="1:13" s="7" customFormat="1" ht="12.75" x14ac:dyDescent="0.2">
      <c r="A67" s="79" t="s">
        <v>15</v>
      </c>
      <c r="B67" s="47">
        <v>0.42</v>
      </c>
      <c r="C67" s="47">
        <v>0.54</v>
      </c>
      <c r="D67" s="47">
        <v>1.043248</v>
      </c>
      <c r="E67" s="47">
        <v>0</v>
      </c>
      <c r="F67" s="47">
        <v>0</v>
      </c>
      <c r="G67" s="47">
        <v>0</v>
      </c>
      <c r="H67" s="47"/>
      <c r="I67" s="47">
        <f>SUM(D67:E67)</f>
        <v>1.043248</v>
      </c>
      <c r="J67" s="47">
        <f>SUM(F67:G67)</f>
        <v>0</v>
      </c>
      <c r="K67" s="42"/>
      <c r="L67" s="57">
        <f t="shared" si="27"/>
        <v>-1.043248</v>
      </c>
      <c r="M67" s="41">
        <f>+IF(I67&lt;&gt;0,IF(ABS((L67)/I67)&gt;1,"n/a ",(L67)/I67*SIGN(I67)),"n/a ")</f>
        <v>-1</v>
      </c>
    </row>
    <row r="68" spans="1:13" s="7" customFormat="1" ht="12.75" x14ac:dyDescent="0.2">
      <c r="A68" s="79" t="s">
        <v>259</v>
      </c>
      <c r="B68" s="47">
        <v>0</v>
      </c>
      <c r="C68" s="47">
        <v>0</v>
      </c>
      <c r="D68" s="47">
        <v>0</v>
      </c>
      <c r="E68" s="47">
        <v>0</v>
      </c>
      <c r="F68" s="47">
        <v>0</v>
      </c>
      <c r="G68" s="47">
        <v>0</v>
      </c>
      <c r="H68" s="47"/>
      <c r="I68" s="47">
        <f>SUM(D68:E68)</f>
        <v>0</v>
      </c>
      <c r="J68" s="47">
        <f t="shared" ref="J68" si="33">SUM(F68:G68)</f>
        <v>0</v>
      </c>
      <c r="K68" s="42"/>
      <c r="L68" s="57">
        <f>J68-I68</f>
        <v>0</v>
      </c>
      <c r="M68" s="41" t="str">
        <f t="shared" si="28"/>
        <v xml:space="preserve">n/a </v>
      </c>
    </row>
    <row r="69" spans="1:13" s="7" customFormat="1" ht="13.5" thickBot="1" x14ac:dyDescent="0.25">
      <c r="A69" s="78" t="s">
        <v>276</v>
      </c>
      <c r="B69" s="53">
        <f>SUM(B64:B68)</f>
        <v>0.42</v>
      </c>
      <c r="C69" s="53">
        <f t="shared" ref="C69:J69" si="34">SUM(C64:C68)</f>
        <v>0.54</v>
      </c>
      <c r="D69" s="53">
        <f t="shared" si="34"/>
        <v>1.043248</v>
      </c>
      <c r="E69" s="53">
        <f t="shared" si="34"/>
        <v>0</v>
      </c>
      <c r="F69" s="53">
        <f t="shared" si="34"/>
        <v>0</v>
      </c>
      <c r="G69" s="53">
        <f t="shared" si="34"/>
        <v>0</v>
      </c>
      <c r="H69" s="47"/>
      <c r="I69" s="53">
        <f>SUM(I64:I68)</f>
        <v>1.043248</v>
      </c>
      <c r="J69" s="53">
        <f t="shared" si="34"/>
        <v>0</v>
      </c>
      <c r="K69" s="40"/>
      <c r="L69" s="58">
        <f t="shared" si="27"/>
        <v>-1.043248</v>
      </c>
      <c r="M69" s="44">
        <f t="shared" si="28"/>
        <v>-1</v>
      </c>
    </row>
    <row r="70" spans="1:13" ht="15" thickTop="1" x14ac:dyDescent="0.2">
      <c r="A70" s="80"/>
    </row>
    <row r="71" spans="1:13" x14ac:dyDescent="0.2">
      <c r="A71" s="80"/>
    </row>
    <row r="72" spans="1:13" x14ac:dyDescent="0.2">
      <c r="A72" s="80"/>
    </row>
    <row r="73" spans="1:13" x14ac:dyDescent="0.2">
      <c r="A73" s="80"/>
    </row>
    <row r="74" spans="1:13" x14ac:dyDescent="0.2">
      <c r="A74" s="8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1" manualBreakCount="1">
    <brk id="36" max="16383" man="1"/>
  </rowBreaks>
  <ignoredErrors>
    <ignoredError sqref="I8:J22 I24:J39 I23 I41:J56 I40 I58:J70 I57" formulaRange="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CF071-0352-41FE-BFCB-CDD3F5DA4727}">
  <sheetPr>
    <pageSetUpPr fitToPage="1"/>
  </sheetPr>
  <dimension ref="A1:O100"/>
  <sheetViews>
    <sheetView showGridLines="0" zoomScaleNormal="100" workbookViewId="0">
      <selection activeCell="O5" sqref="O5"/>
    </sheetView>
  </sheetViews>
  <sheetFormatPr defaultRowHeight="12.75" x14ac:dyDescent="0.2"/>
  <cols>
    <col min="1" max="1" width="33.7109375" style="7" customWidth="1"/>
    <col min="2" max="2" width="9.140625" style="7" customWidth="1"/>
    <col min="3" max="13" width="9.140625" style="7"/>
    <col min="14" max="14" width="17.140625" style="7" customWidth="1"/>
    <col min="15" max="16384" width="9.140625" style="7"/>
  </cols>
  <sheetData>
    <row r="1" spans="1:14" s="3" customFormat="1" ht="27.75" x14ac:dyDescent="0.4">
      <c r="A1" s="1" t="s">
        <v>0</v>
      </c>
      <c r="B1" s="2"/>
      <c r="C1" s="2"/>
      <c r="D1" s="2"/>
      <c r="E1" s="2"/>
      <c r="F1" s="2"/>
      <c r="G1" s="2"/>
      <c r="H1" s="2"/>
      <c r="I1" s="2"/>
      <c r="J1" s="2"/>
      <c r="K1" s="2"/>
      <c r="L1" s="2"/>
      <c r="M1" s="2"/>
      <c r="N1" s="2"/>
    </row>
    <row r="2" spans="1:14" s="3" customFormat="1" ht="14.25" x14ac:dyDescent="0.2"/>
    <row r="3" spans="1:14" s="3" customFormat="1" ht="18" x14ac:dyDescent="0.25">
      <c r="A3" s="4" t="s">
        <v>233</v>
      </c>
      <c r="B3" s="5"/>
      <c r="C3" s="5"/>
      <c r="D3" s="5"/>
      <c r="E3" s="5"/>
      <c r="F3" s="5"/>
      <c r="G3" s="5"/>
      <c r="H3" s="5"/>
      <c r="I3" s="5"/>
      <c r="J3" s="5"/>
      <c r="K3" s="5"/>
      <c r="L3" s="5"/>
      <c r="M3" s="5"/>
      <c r="N3" s="5"/>
    </row>
    <row r="4" spans="1:14" x14ac:dyDescent="0.2">
      <c r="A4" s="27" t="s">
        <v>361</v>
      </c>
    </row>
    <row r="5" spans="1:14" x14ac:dyDescent="0.2">
      <c r="B5" s="9" t="s">
        <v>94</v>
      </c>
      <c r="C5" s="9" t="s">
        <v>95</v>
      </c>
      <c r="D5" s="9" t="s">
        <v>96</v>
      </c>
      <c r="E5" s="9" t="s">
        <v>97</v>
      </c>
      <c r="F5" s="9" t="s">
        <v>98</v>
      </c>
      <c r="G5" s="9" t="s">
        <v>99</v>
      </c>
      <c r="H5" s="9" t="s">
        <v>100</v>
      </c>
      <c r="I5" s="9" t="s">
        <v>101</v>
      </c>
      <c r="J5" s="9" t="s">
        <v>102</v>
      </c>
      <c r="K5" s="9" t="s">
        <v>103</v>
      </c>
      <c r="L5" s="9" t="s">
        <v>310</v>
      </c>
      <c r="M5" s="9" t="s">
        <v>311</v>
      </c>
    </row>
    <row r="6" spans="1:14" ht="13.5" thickBot="1" x14ac:dyDescent="0.25">
      <c r="B6" s="10" t="s">
        <v>54</v>
      </c>
      <c r="C6" s="10" t="s">
        <v>54</v>
      </c>
      <c r="D6" s="10" t="s">
        <v>54</v>
      </c>
      <c r="E6" s="10" t="s">
        <v>54</v>
      </c>
      <c r="F6" s="10" t="s">
        <v>54</v>
      </c>
      <c r="G6" s="10" t="s">
        <v>54</v>
      </c>
      <c r="H6" s="10" t="s">
        <v>54</v>
      </c>
      <c r="I6" s="10" t="s">
        <v>54</v>
      </c>
      <c r="J6" s="10" t="s">
        <v>54</v>
      </c>
      <c r="K6" s="10" t="s">
        <v>54</v>
      </c>
      <c r="L6" s="10" t="s">
        <v>54</v>
      </c>
      <c r="M6" s="10" t="s">
        <v>54</v>
      </c>
    </row>
    <row r="7" spans="1:14" x14ac:dyDescent="0.2">
      <c r="A7" s="7" t="s">
        <v>92</v>
      </c>
      <c r="B7" s="157">
        <v>61169.239180329998</v>
      </c>
      <c r="C7" s="157">
        <v>62127</v>
      </c>
      <c r="D7" s="157">
        <v>60194</v>
      </c>
      <c r="E7" s="157">
        <v>63534</v>
      </c>
      <c r="F7" s="157">
        <v>66015</v>
      </c>
      <c r="G7" s="157">
        <v>67595</v>
      </c>
      <c r="H7" s="157">
        <v>68490</v>
      </c>
      <c r="I7" s="157">
        <v>125507</v>
      </c>
      <c r="J7" s="157">
        <v>131762</v>
      </c>
      <c r="K7" s="157">
        <v>132031</v>
      </c>
      <c r="L7" s="59">
        <v>137095</v>
      </c>
      <c r="M7" s="59">
        <v>139146</v>
      </c>
    </row>
    <row r="8" spans="1:14" x14ac:dyDescent="0.2">
      <c r="A8" s="7" t="s">
        <v>235</v>
      </c>
      <c r="B8" s="59">
        <v>0</v>
      </c>
      <c r="C8" s="157">
        <v>0</v>
      </c>
      <c r="D8" s="59">
        <v>0</v>
      </c>
      <c r="E8" s="59">
        <v>0</v>
      </c>
      <c r="F8" s="59">
        <v>0</v>
      </c>
      <c r="G8" s="59">
        <v>0</v>
      </c>
      <c r="H8" s="59">
        <v>77139.598929999993</v>
      </c>
      <c r="I8" s="59">
        <v>0</v>
      </c>
      <c r="J8" s="59">
        <v>0</v>
      </c>
      <c r="K8" s="59">
        <v>0</v>
      </c>
      <c r="L8" s="59">
        <v>0</v>
      </c>
      <c r="M8" s="59">
        <v>296258.05524391</v>
      </c>
    </row>
    <row r="9" spans="1:14" x14ac:dyDescent="0.2">
      <c r="A9" s="7" t="s">
        <v>91</v>
      </c>
      <c r="B9" s="157">
        <v>161</v>
      </c>
      <c r="C9" s="157">
        <v>224</v>
      </c>
      <c r="D9" s="157">
        <v>54</v>
      </c>
      <c r="E9" s="157">
        <v>391</v>
      </c>
      <c r="F9" s="157">
        <v>244</v>
      </c>
      <c r="G9" s="157">
        <v>222</v>
      </c>
      <c r="H9" s="157">
        <v>-532</v>
      </c>
      <c r="I9" s="157">
        <v>164</v>
      </c>
      <c r="J9" s="157">
        <v>-247</v>
      </c>
      <c r="K9" s="157">
        <v>-2753</v>
      </c>
      <c r="L9" s="59">
        <v>-1022</v>
      </c>
      <c r="M9" s="59">
        <v>-26</v>
      </c>
    </row>
    <row r="10" spans="1:14" x14ac:dyDescent="0.2">
      <c r="A10" s="7" t="s">
        <v>88</v>
      </c>
      <c r="B10" s="157">
        <v>-210</v>
      </c>
      <c r="C10" s="157">
        <v>-205</v>
      </c>
      <c r="D10" s="157">
        <v>-208</v>
      </c>
      <c r="E10" s="157">
        <v>-246</v>
      </c>
      <c r="F10" s="157">
        <v>-231</v>
      </c>
      <c r="G10" s="157">
        <v>-229</v>
      </c>
      <c r="H10" s="157">
        <v>-386</v>
      </c>
      <c r="I10" s="157">
        <v>-450</v>
      </c>
      <c r="J10" s="157">
        <v>-360</v>
      </c>
      <c r="K10" s="157">
        <v>-353</v>
      </c>
      <c r="L10" s="59">
        <v>-351</v>
      </c>
      <c r="M10" s="59">
        <v>-519</v>
      </c>
    </row>
    <row r="11" spans="1:14" x14ac:dyDescent="0.2">
      <c r="A11" s="7" t="s">
        <v>89</v>
      </c>
      <c r="B11" s="157">
        <v>1007</v>
      </c>
      <c r="C11" s="157">
        <v>-3161</v>
      </c>
      <c r="D11" s="157">
        <v>3494</v>
      </c>
      <c r="E11" s="157">
        <v>2336</v>
      </c>
      <c r="F11" s="157">
        <v>1567</v>
      </c>
      <c r="G11" s="157">
        <v>902</v>
      </c>
      <c r="H11" s="157">
        <v>-19205</v>
      </c>
      <c r="I11" s="157">
        <v>7790</v>
      </c>
      <c r="J11" s="157">
        <v>1919</v>
      </c>
      <c r="K11" s="157">
        <v>8302</v>
      </c>
      <c r="L11" s="59">
        <v>3425</v>
      </c>
      <c r="M11" s="59">
        <v>11896</v>
      </c>
    </row>
    <row r="12" spans="1:14" x14ac:dyDescent="0.2">
      <c r="A12" s="7" t="s">
        <v>234</v>
      </c>
      <c r="B12" s="59">
        <v>0</v>
      </c>
      <c r="C12" s="59">
        <v>1208.9558258100001</v>
      </c>
      <c r="D12" s="59">
        <v>0</v>
      </c>
      <c r="E12" s="59">
        <v>0</v>
      </c>
      <c r="F12" s="59">
        <v>0</v>
      </c>
      <c r="G12" s="59">
        <v>0</v>
      </c>
      <c r="H12" s="59">
        <v>0</v>
      </c>
      <c r="I12" s="59">
        <v>0</v>
      </c>
      <c r="J12" s="59">
        <v>0</v>
      </c>
      <c r="K12" s="59">
        <v>0</v>
      </c>
      <c r="L12" s="59">
        <v>0</v>
      </c>
      <c r="M12" s="59">
        <v>0</v>
      </c>
    </row>
    <row r="13" spans="1:14" x14ac:dyDescent="0.2">
      <c r="A13" s="7" t="s">
        <v>90</v>
      </c>
      <c r="B13" s="59">
        <v>0</v>
      </c>
      <c r="C13" s="59">
        <v>0</v>
      </c>
      <c r="D13" s="59">
        <v>0</v>
      </c>
      <c r="E13" s="59">
        <v>0</v>
      </c>
      <c r="F13" s="59">
        <v>0</v>
      </c>
      <c r="G13" s="59">
        <v>0</v>
      </c>
      <c r="H13" s="59">
        <v>0</v>
      </c>
      <c r="I13" s="59">
        <v>-1249</v>
      </c>
      <c r="J13" s="59">
        <v>-1041.75050541</v>
      </c>
      <c r="K13" s="59">
        <v>-132.45422556</v>
      </c>
      <c r="L13" s="59">
        <v>0</v>
      </c>
      <c r="M13" s="59">
        <v>0</v>
      </c>
    </row>
    <row r="14" spans="1:14" x14ac:dyDescent="0.2">
      <c r="A14" s="7" t="s">
        <v>312</v>
      </c>
      <c r="B14" s="59">
        <v>0</v>
      </c>
      <c r="C14" s="59">
        <v>0</v>
      </c>
      <c r="D14" s="59">
        <v>0</v>
      </c>
      <c r="E14" s="59">
        <v>0</v>
      </c>
      <c r="F14" s="59">
        <v>0</v>
      </c>
      <c r="G14" s="59">
        <v>0</v>
      </c>
      <c r="H14" s="59">
        <v>0</v>
      </c>
      <c r="I14" s="59">
        <v>0</v>
      </c>
      <c r="J14" s="59">
        <v>0</v>
      </c>
      <c r="K14" s="59">
        <v>0</v>
      </c>
      <c r="L14" s="59">
        <v>0</v>
      </c>
      <c r="M14" s="59">
        <v>6604</v>
      </c>
    </row>
    <row r="15" spans="1:14" ht="13.5" thickBot="1" x14ac:dyDescent="0.25">
      <c r="A15" s="6" t="s">
        <v>93</v>
      </c>
      <c r="B15" s="158">
        <v>62127</v>
      </c>
      <c r="C15" s="158">
        <v>60194</v>
      </c>
      <c r="D15" s="158">
        <v>63534</v>
      </c>
      <c r="E15" s="158">
        <v>66015</v>
      </c>
      <c r="F15" s="158">
        <v>67595</v>
      </c>
      <c r="G15" s="158">
        <v>68490</v>
      </c>
      <c r="H15" s="158">
        <v>125507</v>
      </c>
      <c r="I15" s="158">
        <v>131762</v>
      </c>
      <c r="J15" s="158">
        <v>132031</v>
      </c>
      <c r="K15" s="158">
        <v>137095</v>
      </c>
      <c r="L15" s="62">
        <v>139146</v>
      </c>
      <c r="M15" s="62">
        <v>453359</v>
      </c>
    </row>
    <row r="17" spans="1:14" s="3" customFormat="1" ht="18" x14ac:dyDescent="0.25">
      <c r="A17" s="4" t="s">
        <v>104</v>
      </c>
      <c r="B17" s="5"/>
      <c r="C17" s="5"/>
      <c r="D17" s="5"/>
      <c r="E17" s="5"/>
      <c r="F17" s="5"/>
      <c r="G17" s="5"/>
      <c r="H17" s="5"/>
      <c r="I17" s="5"/>
      <c r="J17" s="5"/>
      <c r="K17" s="5"/>
      <c r="L17" s="5"/>
      <c r="M17" s="5"/>
      <c r="N17" s="5"/>
    </row>
    <row r="19" spans="1:14" x14ac:dyDescent="0.2">
      <c r="B19" s="9" t="s">
        <v>94</v>
      </c>
      <c r="C19" s="9" t="s">
        <v>95</v>
      </c>
      <c r="D19" s="9" t="s">
        <v>96</v>
      </c>
      <c r="E19" s="9" t="s">
        <v>97</v>
      </c>
      <c r="F19" s="9" t="s">
        <v>98</v>
      </c>
      <c r="G19" s="9" t="s">
        <v>99</v>
      </c>
      <c r="H19" s="9" t="s">
        <v>100</v>
      </c>
      <c r="I19" s="9" t="s">
        <v>101</v>
      </c>
      <c r="J19" s="9" t="s">
        <v>102</v>
      </c>
      <c r="K19" s="9" t="s">
        <v>103</v>
      </c>
      <c r="L19" s="9" t="s">
        <v>310</v>
      </c>
      <c r="M19" s="9" t="s">
        <v>311</v>
      </c>
    </row>
    <row r="20" spans="1:14" ht="13.5" thickBot="1" x14ac:dyDescent="0.25">
      <c r="B20" s="10" t="s">
        <v>54</v>
      </c>
      <c r="C20" s="10" t="s">
        <v>54</v>
      </c>
      <c r="D20" s="10" t="s">
        <v>54</v>
      </c>
      <c r="E20" s="10" t="s">
        <v>54</v>
      </c>
      <c r="F20" s="10" t="s">
        <v>54</v>
      </c>
      <c r="G20" s="10" t="s">
        <v>54</v>
      </c>
      <c r="H20" s="10" t="s">
        <v>54</v>
      </c>
      <c r="I20" s="10" t="s">
        <v>54</v>
      </c>
      <c r="J20" s="10" t="s">
        <v>54</v>
      </c>
      <c r="K20" s="10" t="s">
        <v>54</v>
      </c>
      <c r="L20" s="10" t="s">
        <v>54</v>
      </c>
      <c r="M20" s="10" t="s">
        <v>54</v>
      </c>
    </row>
    <row r="21" spans="1:14" x14ac:dyDescent="0.2">
      <c r="A21" s="7" t="s">
        <v>92</v>
      </c>
      <c r="B21" s="60">
        <v>39140</v>
      </c>
      <c r="C21" s="60">
        <v>39824</v>
      </c>
      <c r="D21" s="60">
        <v>38943</v>
      </c>
      <c r="E21" s="60">
        <v>41224</v>
      </c>
      <c r="F21" s="60">
        <v>43127</v>
      </c>
      <c r="G21" s="60">
        <v>44174</v>
      </c>
      <c r="H21" s="60">
        <v>44882</v>
      </c>
      <c r="I21" s="60">
        <v>39498</v>
      </c>
      <c r="J21" s="60">
        <v>41989</v>
      </c>
      <c r="K21" s="60">
        <v>42319</v>
      </c>
      <c r="L21" s="60">
        <v>44832</v>
      </c>
      <c r="M21" s="60">
        <v>46017</v>
      </c>
    </row>
    <row r="22" spans="1:14" x14ac:dyDescent="0.2">
      <c r="A22" s="7" t="s">
        <v>91</v>
      </c>
      <c r="B22" s="60">
        <v>294</v>
      </c>
      <c r="C22" s="60">
        <v>411</v>
      </c>
      <c r="D22" s="60">
        <v>183</v>
      </c>
      <c r="E22" s="60">
        <v>572</v>
      </c>
      <c r="F22" s="60">
        <v>410</v>
      </c>
      <c r="G22" s="60">
        <v>367</v>
      </c>
      <c r="H22" s="60">
        <v>190</v>
      </c>
      <c r="I22" s="60">
        <v>398</v>
      </c>
      <c r="J22" s="60">
        <v>226</v>
      </c>
      <c r="K22" s="60">
        <v>40</v>
      </c>
      <c r="L22" s="60">
        <v>267.13221865999981</v>
      </c>
      <c r="M22" s="60">
        <v>605.74216732000002</v>
      </c>
    </row>
    <row r="23" spans="1:14" x14ac:dyDescent="0.2">
      <c r="A23" s="7" t="s">
        <v>88</v>
      </c>
      <c r="B23" s="60">
        <v>-210</v>
      </c>
      <c r="C23" s="60">
        <v>-205</v>
      </c>
      <c r="D23" s="60">
        <v>-208</v>
      </c>
      <c r="E23" s="60">
        <v>-246</v>
      </c>
      <c r="F23" s="60">
        <v>-231</v>
      </c>
      <c r="G23" s="60">
        <v>-229</v>
      </c>
      <c r="H23" s="60">
        <v>-229</v>
      </c>
      <c r="I23" s="60">
        <v>-238</v>
      </c>
      <c r="J23" s="60">
        <v>-191</v>
      </c>
      <c r="K23" s="60">
        <v>-190</v>
      </c>
      <c r="L23" s="60">
        <v>-190.76296405000005</v>
      </c>
      <c r="M23" s="60">
        <v>-216.76566803999998</v>
      </c>
    </row>
    <row r="24" spans="1:14" x14ac:dyDescent="0.2">
      <c r="A24" s="7" t="s">
        <v>89</v>
      </c>
      <c r="B24" s="66">
        <v>600</v>
      </c>
      <c r="C24" s="66">
        <v>-2296</v>
      </c>
      <c r="D24" s="66">
        <v>2306</v>
      </c>
      <c r="E24" s="66">
        <v>1577</v>
      </c>
      <c r="F24" s="66">
        <v>868</v>
      </c>
      <c r="G24" s="66">
        <v>570</v>
      </c>
      <c r="H24" s="66">
        <v>-5345</v>
      </c>
      <c r="I24" s="60">
        <v>2500</v>
      </c>
      <c r="J24" s="60">
        <v>454</v>
      </c>
      <c r="K24" s="60">
        <v>2684</v>
      </c>
      <c r="L24" s="60">
        <v>1109.5583549299986</v>
      </c>
      <c r="M24" s="60">
        <v>2007.8689759700183</v>
      </c>
    </row>
    <row r="25" spans="1:14" x14ac:dyDescent="0.2">
      <c r="A25" s="7" t="s">
        <v>234</v>
      </c>
      <c r="B25" s="60">
        <v>0</v>
      </c>
      <c r="C25" s="60">
        <v>1209</v>
      </c>
      <c r="D25" s="60">
        <v>0</v>
      </c>
      <c r="E25" s="60">
        <v>0</v>
      </c>
      <c r="F25" s="60">
        <v>0</v>
      </c>
      <c r="G25" s="60">
        <v>0</v>
      </c>
      <c r="H25" s="60">
        <v>0</v>
      </c>
      <c r="I25" s="60">
        <v>0</v>
      </c>
      <c r="J25" s="60">
        <v>0</v>
      </c>
      <c r="K25" s="60">
        <v>0</v>
      </c>
      <c r="L25" s="60">
        <v>0</v>
      </c>
      <c r="M25" s="60">
        <v>0</v>
      </c>
    </row>
    <row r="26" spans="1:14" x14ac:dyDescent="0.2">
      <c r="A26" s="7" t="s">
        <v>90</v>
      </c>
      <c r="B26" s="60">
        <v>0</v>
      </c>
      <c r="C26" s="60">
        <v>0</v>
      </c>
      <c r="D26" s="60">
        <v>0</v>
      </c>
      <c r="E26" s="60">
        <v>0</v>
      </c>
      <c r="F26" s="60">
        <v>0</v>
      </c>
      <c r="G26" s="60">
        <v>0</v>
      </c>
      <c r="H26" s="60">
        <v>0</v>
      </c>
      <c r="I26" s="60">
        <v>-170</v>
      </c>
      <c r="J26" s="60">
        <v>-158</v>
      </c>
      <c r="K26" s="60">
        <v>-21</v>
      </c>
      <c r="L26" s="60">
        <v>0</v>
      </c>
      <c r="M26" s="60">
        <v>0</v>
      </c>
    </row>
    <row r="27" spans="1:14" ht="13.5" thickBot="1" x14ac:dyDescent="0.25">
      <c r="A27" s="6" t="s">
        <v>93</v>
      </c>
      <c r="B27" s="61">
        <v>39824</v>
      </c>
      <c r="C27" s="61">
        <v>38943</v>
      </c>
      <c r="D27" s="61">
        <v>41224</v>
      </c>
      <c r="E27" s="61">
        <v>43127</v>
      </c>
      <c r="F27" s="61">
        <v>44174</v>
      </c>
      <c r="G27" s="61">
        <v>44882</v>
      </c>
      <c r="H27" s="61">
        <v>39498</v>
      </c>
      <c r="I27" s="65">
        <v>41989</v>
      </c>
      <c r="J27" s="65">
        <v>42319</v>
      </c>
      <c r="K27" s="61">
        <v>44832</v>
      </c>
      <c r="L27" s="61">
        <v>46017</v>
      </c>
      <c r="M27" s="61">
        <v>48414</v>
      </c>
    </row>
    <row r="29" spans="1:14" s="3" customFormat="1" ht="18" x14ac:dyDescent="0.25">
      <c r="A29" s="4" t="s">
        <v>105</v>
      </c>
      <c r="B29" s="5"/>
      <c r="C29" s="5"/>
      <c r="D29" s="5"/>
      <c r="E29" s="5"/>
      <c r="F29" s="5"/>
      <c r="G29" s="5"/>
      <c r="H29" s="5"/>
      <c r="I29" s="5"/>
      <c r="J29" s="5"/>
      <c r="K29" s="5"/>
      <c r="L29" s="5"/>
      <c r="M29" s="5"/>
      <c r="N29" s="5"/>
    </row>
    <row r="31" spans="1:14" x14ac:dyDescent="0.2">
      <c r="B31" s="9" t="s">
        <v>94</v>
      </c>
      <c r="C31" s="9" t="s">
        <v>95</v>
      </c>
      <c r="D31" s="9" t="s">
        <v>96</v>
      </c>
      <c r="E31" s="9" t="s">
        <v>97</v>
      </c>
      <c r="F31" s="9" t="s">
        <v>98</v>
      </c>
      <c r="G31" s="9" t="s">
        <v>99</v>
      </c>
      <c r="H31" s="9" t="s">
        <v>100</v>
      </c>
      <c r="I31" s="9" t="s">
        <v>101</v>
      </c>
      <c r="J31" s="9" t="s">
        <v>102</v>
      </c>
      <c r="K31" s="9" t="s">
        <v>103</v>
      </c>
      <c r="L31" s="9" t="s">
        <v>310</v>
      </c>
      <c r="M31" s="9" t="s">
        <v>311</v>
      </c>
    </row>
    <row r="32" spans="1:14" ht="13.5" thickBot="1" x14ac:dyDescent="0.25">
      <c r="B32" s="10" t="s">
        <v>54</v>
      </c>
      <c r="C32" s="10" t="s">
        <v>54</v>
      </c>
      <c r="D32" s="10" t="s">
        <v>54</v>
      </c>
      <c r="E32" s="10" t="s">
        <v>54</v>
      </c>
      <c r="F32" s="10" t="s">
        <v>54</v>
      </c>
      <c r="G32" s="10" t="s">
        <v>54</v>
      </c>
      <c r="H32" s="10" t="s">
        <v>54</v>
      </c>
      <c r="I32" s="10" t="s">
        <v>54</v>
      </c>
      <c r="J32" s="10" t="s">
        <v>54</v>
      </c>
      <c r="K32" s="10" t="s">
        <v>54</v>
      </c>
      <c r="L32" s="10" t="s">
        <v>54</v>
      </c>
      <c r="M32" s="10" t="s">
        <v>54</v>
      </c>
    </row>
    <row r="33" spans="1:14" x14ac:dyDescent="0.2">
      <c r="A33" s="7" t="s">
        <v>92</v>
      </c>
      <c r="B33" s="60">
        <v>22029</v>
      </c>
      <c r="C33" s="60">
        <v>22302</v>
      </c>
      <c r="D33" s="60">
        <v>21250</v>
      </c>
      <c r="E33" s="60">
        <v>22309</v>
      </c>
      <c r="F33" s="60">
        <v>22886</v>
      </c>
      <c r="G33" s="60">
        <v>23420</v>
      </c>
      <c r="H33" s="60">
        <v>23607</v>
      </c>
      <c r="I33" s="60">
        <v>21097</v>
      </c>
      <c r="J33" s="60">
        <v>22386</v>
      </c>
      <c r="K33" s="60">
        <v>22644</v>
      </c>
      <c r="L33" s="60">
        <v>21848</v>
      </c>
      <c r="M33" s="60">
        <v>22136</v>
      </c>
    </row>
    <row r="34" spans="1:14" x14ac:dyDescent="0.2">
      <c r="A34" s="7" t="s">
        <v>91</v>
      </c>
      <c r="B34" s="60">
        <v>-134</v>
      </c>
      <c r="C34" s="60">
        <v>-186</v>
      </c>
      <c r="D34" s="60">
        <v>-129</v>
      </c>
      <c r="E34" s="60">
        <v>-181</v>
      </c>
      <c r="F34" s="60">
        <v>-166</v>
      </c>
      <c r="G34" s="60">
        <v>-145</v>
      </c>
      <c r="H34" s="60">
        <v>-81</v>
      </c>
      <c r="I34" s="60">
        <v>-51</v>
      </c>
      <c r="J34" s="60">
        <v>-62</v>
      </c>
      <c r="K34" s="60">
        <v>-2168</v>
      </c>
      <c r="L34" s="60">
        <v>-506.76626249000003</v>
      </c>
      <c r="M34" s="60">
        <v>89.755506099999906</v>
      </c>
    </row>
    <row r="35" spans="1:14" x14ac:dyDescent="0.2">
      <c r="A35" s="7" t="s">
        <v>89</v>
      </c>
      <c r="B35" s="60">
        <v>406</v>
      </c>
      <c r="C35" s="60">
        <v>-865</v>
      </c>
      <c r="D35" s="60">
        <v>1188</v>
      </c>
      <c r="E35" s="60">
        <v>759</v>
      </c>
      <c r="F35" s="60">
        <v>700</v>
      </c>
      <c r="G35" s="60">
        <v>332</v>
      </c>
      <c r="H35" s="60">
        <v>-2429</v>
      </c>
      <c r="I35" s="60">
        <v>1340</v>
      </c>
      <c r="J35" s="60">
        <v>321</v>
      </c>
      <c r="K35" s="60">
        <v>1372</v>
      </c>
      <c r="L35" s="60">
        <v>795.05790564000529</v>
      </c>
      <c r="M35" s="60">
        <v>1282.3076004000054</v>
      </c>
    </row>
    <row r="36" spans="1:14" ht="13.5" thickBot="1" x14ac:dyDescent="0.25">
      <c r="A36" s="6" t="s">
        <v>93</v>
      </c>
      <c r="B36" s="65">
        <v>22302</v>
      </c>
      <c r="C36" s="65">
        <v>21250</v>
      </c>
      <c r="D36" s="65">
        <v>22309</v>
      </c>
      <c r="E36" s="65">
        <v>22886</v>
      </c>
      <c r="F36" s="65">
        <v>23420</v>
      </c>
      <c r="G36" s="65">
        <v>23607</v>
      </c>
      <c r="H36" s="65">
        <v>21097</v>
      </c>
      <c r="I36" s="65">
        <v>22386</v>
      </c>
      <c r="J36" s="65">
        <v>22644</v>
      </c>
      <c r="K36" s="65">
        <v>21848</v>
      </c>
      <c r="L36" s="65">
        <v>22136</v>
      </c>
      <c r="M36" s="65">
        <v>23509</v>
      </c>
    </row>
    <row r="38" spans="1:14" s="3" customFormat="1" ht="18" x14ac:dyDescent="0.25">
      <c r="A38" s="4" t="s">
        <v>106</v>
      </c>
      <c r="B38" s="5"/>
      <c r="C38" s="5"/>
      <c r="D38" s="5"/>
      <c r="E38" s="5"/>
      <c r="F38" s="5"/>
      <c r="G38" s="5"/>
      <c r="H38" s="5"/>
      <c r="I38" s="5"/>
      <c r="J38" s="5"/>
      <c r="K38" s="5"/>
      <c r="L38" s="5"/>
      <c r="M38" s="5"/>
      <c r="N38" s="5"/>
    </row>
    <row r="40" spans="1:14" x14ac:dyDescent="0.2">
      <c r="B40" s="15"/>
      <c r="C40" s="15"/>
      <c r="D40" s="15"/>
      <c r="E40" s="15"/>
      <c r="F40" s="15"/>
      <c r="G40" s="15"/>
      <c r="H40" s="9" t="s">
        <v>100</v>
      </c>
      <c r="I40" s="9" t="s">
        <v>101</v>
      </c>
      <c r="J40" s="9" t="s">
        <v>102</v>
      </c>
      <c r="K40" s="9" t="s">
        <v>103</v>
      </c>
      <c r="L40" s="9" t="s">
        <v>310</v>
      </c>
      <c r="M40" s="9" t="s">
        <v>311</v>
      </c>
    </row>
    <row r="41" spans="1:14" ht="13.5" thickBot="1" x14ac:dyDescent="0.25">
      <c r="B41" s="15"/>
      <c r="C41" s="15"/>
      <c r="D41" s="15"/>
      <c r="E41" s="15"/>
      <c r="F41" s="15"/>
      <c r="G41" s="15"/>
      <c r="H41" s="10" t="s">
        <v>54</v>
      </c>
      <c r="I41" s="10" t="s">
        <v>54</v>
      </c>
      <c r="J41" s="10" t="s">
        <v>54</v>
      </c>
      <c r="K41" s="10" t="s">
        <v>54</v>
      </c>
      <c r="L41" s="10" t="s">
        <v>54</v>
      </c>
      <c r="M41" s="10" t="s">
        <v>54</v>
      </c>
    </row>
    <row r="42" spans="1:14" x14ac:dyDescent="0.2">
      <c r="A42" s="7" t="s">
        <v>92</v>
      </c>
      <c r="B42" s="20"/>
      <c r="C42" s="20"/>
      <c r="D42" s="20"/>
      <c r="E42" s="20"/>
      <c r="F42" s="20"/>
      <c r="G42" s="20"/>
      <c r="H42" s="59">
        <v>0</v>
      </c>
      <c r="I42" s="59">
        <v>41608</v>
      </c>
      <c r="J42" s="59">
        <v>43268</v>
      </c>
      <c r="K42" s="59">
        <v>42986</v>
      </c>
      <c r="L42" s="59">
        <v>44914</v>
      </c>
      <c r="M42" s="59">
        <v>45183</v>
      </c>
    </row>
    <row r="43" spans="1:14" x14ac:dyDescent="0.2">
      <c r="A43" s="7" t="s">
        <v>235</v>
      </c>
      <c r="B43" s="20"/>
      <c r="C43" s="20"/>
      <c r="D43" s="20"/>
      <c r="E43" s="20"/>
      <c r="F43" s="20"/>
      <c r="G43" s="20"/>
      <c r="H43" s="59">
        <v>49112</v>
      </c>
      <c r="I43" s="59">
        <v>0</v>
      </c>
      <c r="J43" s="59">
        <v>0</v>
      </c>
      <c r="K43" s="59">
        <v>0</v>
      </c>
      <c r="L43" s="59">
        <v>0</v>
      </c>
      <c r="M43" s="59">
        <v>0</v>
      </c>
    </row>
    <row r="44" spans="1:14" x14ac:dyDescent="0.2">
      <c r="A44" s="7" t="s">
        <v>91</v>
      </c>
      <c r="B44" s="20"/>
      <c r="C44" s="20"/>
      <c r="D44" s="20"/>
      <c r="E44" s="20"/>
      <c r="F44" s="20"/>
      <c r="G44" s="20"/>
      <c r="H44" s="59">
        <v>-421</v>
      </c>
      <c r="I44" s="59">
        <v>-233</v>
      </c>
      <c r="J44" s="59">
        <v>-385</v>
      </c>
      <c r="K44" s="59">
        <v>-542</v>
      </c>
      <c r="L44" s="59">
        <v>-611.46043724000003</v>
      </c>
      <c r="M44" s="59">
        <v>-599.92208950999998</v>
      </c>
    </row>
    <row r="45" spans="1:14" x14ac:dyDescent="0.2">
      <c r="A45" s="7" t="s">
        <v>88</v>
      </c>
      <c r="B45" s="20"/>
      <c r="C45" s="20"/>
      <c r="D45" s="20"/>
      <c r="E45" s="20"/>
      <c r="F45" s="20"/>
      <c r="G45" s="20"/>
      <c r="H45" s="59">
        <v>-139</v>
      </c>
      <c r="I45" s="59">
        <v>-211</v>
      </c>
      <c r="J45" s="59">
        <v>-170</v>
      </c>
      <c r="K45" s="59">
        <v>-163</v>
      </c>
      <c r="L45" s="59">
        <v>-159.50943856000001</v>
      </c>
      <c r="M45" s="59">
        <v>-175.99958799999999</v>
      </c>
    </row>
    <row r="46" spans="1:14" x14ac:dyDescent="0.2">
      <c r="A46" s="7" t="s">
        <v>89</v>
      </c>
      <c r="B46" s="20"/>
      <c r="C46" s="20"/>
      <c r="D46" s="20"/>
      <c r="E46" s="20"/>
      <c r="F46" s="20"/>
      <c r="G46" s="20"/>
      <c r="H46" s="59">
        <v>-6943</v>
      </c>
      <c r="I46" s="59">
        <v>2676</v>
      </c>
      <c r="J46" s="59">
        <v>733</v>
      </c>
      <c r="K46" s="59">
        <v>2691</v>
      </c>
      <c r="L46" s="59">
        <v>1039.6677845100044</v>
      </c>
      <c r="M46" s="59">
        <v>2203.3105333599965</v>
      </c>
    </row>
    <row r="47" spans="1:14" x14ac:dyDescent="0.2">
      <c r="A47" s="7" t="s">
        <v>90</v>
      </c>
      <c r="B47" s="20"/>
      <c r="C47" s="20"/>
      <c r="D47" s="20"/>
      <c r="E47" s="20"/>
      <c r="F47" s="20"/>
      <c r="G47" s="20"/>
      <c r="H47" s="59">
        <v>0</v>
      </c>
      <c r="I47" s="59">
        <v>-573</v>
      </c>
      <c r="J47" s="59">
        <v>-461</v>
      </c>
      <c r="K47" s="59">
        <v>-59</v>
      </c>
      <c r="L47" s="59">
        <v>0</v>
      </c>
      <c r="M47" s="59">
        <v>0</v>
      </c>
    </row>
    <row r="48" spans="1:14" ht="13.5" thickBot="1" x14ac:dyDescent="0.25">
      <c r="A48" s="6" t="s">
        <v>93</v>
      </c>
      <c r="B48" s="20"/>
      <c r="C48" s="20"/>
      <c r="D48" s="20"/>
      <c r="E48" s="20"/>
      <c r="F48" s="20"/>
      <c r="G48" s="20"/>
      <c r="H48" s="62">
        <v>41608</v>
      </c>
      <c r="I48" s="62">
        <v>43268</v>
      </c>
      <c r="J48" s="62">
        <v>42986</v>
      </c>
      <c r="K48" s="62">
        <v>44914</v>
      </c>
      <c r="L48" s="62">
        <v>45183</v>
      </c>
      <c r="M48" s="62">
        <v>46610</v>
      </c>
    </row>
    <row r="50" spans="1:15" s="3" customFormat="1" ht="18" x14ac:dyDescent="0.25">
      <c r="A50" s="4" t="s">
        <v>107</v>
      </c>
      <c r="B50" s="5"/>
      <c r="C50" s="5"/>
      <c r="D50" s="5"/>
      <c r="E50" s="5"/>
      <c r="F50" s="5"/>
      <c r="G50" s="5"/>
      <c r="H50" s="5"/>
      <c r="I50" s="5"/>
      <c r="J50" s="5"/>
      <c r="K50" s="5"/>
      <c r="L50" s="5"/>
      <c r="M50" s="5"/>
      <c r="N50" s="5"/>
    </row>
    <row r="52" spans="1:15" x14ac:dyDescent="0.2">
      <c r="B52" s="15"/>
      <c r="C52" s="15"/>
      <c r="D52" s="15"/>
      <c r="E52" s="15"/>
      <c r="F52" s="15"/>
      <c r="G52" s="15"/>
      <c r="H52" s="9" t="s">
        <v>100</v>
      </c>
      <c r="I52" s="9" t="s">
        <v>101</v>
      </c>
      <c r="J52" s="9" t="s">
        <v>102</v>
      </c>
      <c r="K52" s="9" t="s">
        <v>103</v>
      </c>
      <c r="L52" s="9" t="s">
        <v>310</v>
      </c>
      <c r="M52" s="9" t="s">
        <v>311</v>
      </c>
    </row>
    <row r="53" spans="1:15" ht="13.5" thickBot="1" x14ac:dyDescent="0.25">
      <c r="B53" s="15"/>
      <c r="C53" s="15"/>
      <c r="D53" s="15"/>
      <c r="E53" s="15"/>
      <c r="F53" s="15"/>
      <c r="G53" s="15"/>
      <c r="H53" s="10" t="s">
        <v>54</v>
      </c>
      <c r="I53" s="10" t="s">
        <v>54</v>
      </c>
      <c r="J53" s="10" t="s">
        <v>54</v>
      </c>
      <c r="K53" s="10" t="s">
        <v>54</v>
      </c>
      <c r="L53" s="10" t="s">
        <v>54</v>
      </c>
      <c r="M53" s="10" t="s">
        <v>54</v>
      </c>
    </row>
    <row r="54" spans="1:15" x14ac:dyDescent="0.2">
      <c r="A54" s="7" t="s">
        <v>92</v>
      </c>
      <c r="B54" s="20"/>
      <c r="C54" s="20"/>
      <c r="D54" s="20"/>
      <c r="E54" s="20"/>
      <c r="F54" s="20"/>
      <c r="G54" s="20"/>
      <c r="H54" s="59">
        <v>0</v>
      </c>
      <c r="I54" s="59">
        <v>23303</v>
      </c>
      <c r="J54" s="59">
        <v>24121</v>
      </c>
      <c r="K54" s="59">
        <v>24082</v>
      </c>
      <c r="L54" s="59">
        <v>25501</v>
      </c>
      <c r="M54" s="59">
        <v>25810</v>
      </c>
    </row>
    <row r="55" spans="1:15" x14ac:dyDescent="0.2">
      <c r="A55" s="7" t="s">
        <v>235</v>
      </c>
      <c r="B55" s="20"/>
      <c r="C55" s="20"/>
      <c r="D55" s="20"/>
      <c r="E55" s="20"/>
      <c r="F55" s="20"/>
      <c r="G55" s="20"/>
      <c r="H55" s="59">
        <v>28028</v>
      </c>
      <c r="I55" s="59">
        <v>0</v>
      </c>
      <c r="J55" s="59">
        <v>0</v>
      </c>
      <c r="K55" s="59">
        <v>0</v>
      </c>
      <c r="L55" s="59">
        <v>0</v>
      </c>
      <c r="M55" s="59">
        <v>0</v>
      </c>
    </row>
    <row r="56" spans="1:15" x14ac:dyDescent="0.2">
      <c r="A56" s="7" t="s">
        <v>91</v>
      </c>
      <c r="B56" s="20"/>
      <c r="C56" s="20"/>
      <c r="D56" s="20"/>
      <c r="E56" s="20"/>
      <c r="F56" s="20"/>
      <c r="G56" s="20"/>
      <c r="H56" s="59">
        <v>-220</v>
      </c>
      <c r="I56" s="59">
        <v>50</v>
      </c>
      <c r="J56" s="59">
        <v>-26</v>
      </c>
      <c r="K56" s="59">
        <v>-83</v>
      </c>
      <c r="L56" s="59">
        <v>-170.83181019</v>
      </c>
      <c r="M56" s="59">
        <v>-295.57635160000063</v>
      </c>
    </row>
    <row r="57" spans="1:15" x14ac:dyDescent="0.2">
      <c r="A57" s="7" t="s">
        <v>88</v>
      </c>
      <c r="B57" s="20"/>
      <c r="C57" s="20"/>
      <c r="D57" s="20"/>
      <c r="E57" s="20"/>
      <c r="F57" s="20"/>
      <c r="G57" s="20"/>
      <c r="H57" s="59">
        <v>-18</v>
      </c>
      <c r="I57" s="59">
        <v>0</v>
      </c>
      <c r="J57" s="59">
        <v>0</v>
      </c>
      <c r="K57" s="59">
        <v>0</v>
      </c>
      <c r="L57" s="59">
        <v>0</v>
      </c>
      <c r="M57" s="59">
        <v>0</v>
      </c>
    </row>
    <row r="58" spans="1:15" x14ac:dyDescent="0.2">
      <c r="A58" s="7" t="s">
        <v>89</v>
      </c>
      <c r="B58" s="20"/>
      <c r="C58" s="20"/>
      <c r="D58" s="20"/>
      <c r="E58" s="20"/>
      <c r="F58" s="20"/>
      <c r="G58" s="20"/>
      <c r="H58" s="59">
        <v>-4488</v>
      </c>
      <c r="I58" s="59">
        <v>1274</v>
      </c>
      <c r="J58" s="59">
        <v>410</v>
      </c>
      <c r="K58" s="59">
        <v>1554</v>
      </c>
      <c r="L58" s="59">
        <v>480.01219703999919</v>
      </c>
      <c r="M58" s="59">
        <v>1547.203603599999</v>
      </c>
    </row>
    <row r="59" spans="1:15" x14ac:dyDescent="0.2">
      <c r="A59" s="7" t="s">
        <v>90</v>
      </c>
      <c r="B59" s="20"/>
      <c r="C59" s="20"/>
      <c r="D59" s="20"/>
      <c r="E59" s="20"/>
      <c r="F59" s="20"/>
      <c r="G59" s="20"/>
      <c r="H59" s="59">
        <v>0</v>
      </c>
      <c r="I59" s="59">
        <v>-506</v>
      </c>
      <c r="J59" s="59">
        <v>-423</v>
      </c>
      <c r="K59" s="59">
        <v>-53</v>
      </c>
      <c r="L59" s="59">
        <v>0</v>
      </c>
      <c r="M59" s="59">
        <v>0</v>
      </c>
    </row>
    <row r="60" spans="1:15" x14ac:dyDescent="0.2">
      <c r="A60" s="7" t="s">
        <v>312</v>
      </c>
      <c r="B60" s="20"/>
      <c r="C60" s="20"/>
      <c r="D60" s="20"/>
      <c r="E60" s="20"/>
      <c r="F60" s="20"/>
      <c r="G60" s="20"/>
      <c r="H60" s="59">
        <v>0</v>
      </c>
      <c r="I60" s="59">
        <v>0</v>
      </c>
      <c r="J60" s="59">
        <v>0</v>
      </c>
      <c r="K60" s="59">
        <v>0</v>
      </c>
      <c r="L60" s="59">
        <v>0</v>
      </c>
      <c r="M60" s="59">
        <v>6604</v>
      </c>
    </row>
    <row r="61" spans="1:15" ht="13.5" thickBot="1" x14ac:dyDescent="0.25">
      <c r="A61" s="6" t="s">
        <v>93</v>
      </c>
      <c r="B61" s="20"/>
      <c r="C61" s="20"/>
      <c r="D61" s="20"/>
      <c r="E61" s="20"/>
      <c r="F61" s="20"/>
      <c r="G61" s="20"/>
      <c r="H61" s="62">
        <v>23303</v>
      </c>
      <c r="I61" s="62">
        <v>24121</v>
      </c>
      <c r="J61" s="62">
        <v>24082</v>
      </c>
      <c r="K61" s="62">
        <v>25501</v>
      </c>
      <c r="L61" s="62">
        <v>25810</v>
      </c>
      <c r="M61" s="62">
        <v>33665</v>
      </c>
    </row>
    <row r="63" spans="1:15" customFormat="1" ht="18" x14ac:dyDescent="0.25">
      <c r="A63" s="4" t="s">
        <v>313</v>
      </c>
      <c r="B63" s="5"/>
      <c r="C63" s="5"/>
      <c r="D63" s="5"/>
      <c r="E63" s="5"/>
      <c r="F63" s="5"/>
      <c r="G63" s="5"/>
      <c r="H63" s="5"/>
      <c r="I63" s="5"/>
      <c r="J63" s="5"/>
      <c r="K63" s="5"/>
      <c r="L63" s="5"/>
      <c r="M63" s="5"/>
      <c r="N63" s="5"/>
      <c r="O63" s="7"/>
    </row>
    <row r="64" spans="1:15" customFormat="1" ht="12.75" customHeight="1" x14ac:dyDescent="0.25">
      <c r="A64" s="7"/>
      <c r="B64" s="7"/>
      <c r="C64" s="7"/>
      <c r="D64" s="7"/>
      <c r="E64" s="7"/>
      <c r="F64" s="7"/>
      <c r="G64" s="7"/>
      <c r="H64" s="7"/>
      <c r="I64" s="7"/>
      <c r="J64" s="7"/>
      <c r="K64" s="7"/>
      <c r="L64" s="7"/>
      <c r="M64" s="7"/>
      <c r="N64" s="7"/>
      <c r="O64" s="7"/>
    </row>
    <row r="65" spans="1:15" customFormat="1" ht="12.75" customHeight="1" x14ac:dyDescent="0.25">
      <c r="A65" s="7"/>
      <c r="B65" s="9"/>
      <c r="C65" s="9"/>
      <c r="D65" s="9"/>
      <c r="E65" s="9"/>
      <c r="F65" s="9"/>
      <c r="G65" s="9"/>
      <c r="H65" s="9"/>
      <c r="I65" s="9"/>
      <c r="J65" s="9"/>
      <c r="K65" s="9"/>
      <c r="L65" s="9"/>
      <c r="M65" s="9" t="s">
        <v>311</v>
      </c>
      <c r="N65" s="7"/>
      <c r="O65" s="7"/>
    </row>
    <row r="66" spans="1:15" customFormat="1" ht="12.75" customHeight="1" thickBot="1" x14ac:dyDescent="0.3">
      <c r="A66" s="7"/>
      <c r="B66" s="9"/>
      <c r="C66" s="9"/>
      <c r="D66" s="9"/>
      <c r="E66" s="9"/>
      <c r="F66" s="9"/>
      <c r="G66" s="9"/>
      <c r="H66" s="9"/>
      <c r="I66" s="9"/>
      <c r="J66" s="9"/>
      <c r="K66" s="9"/>
      <c r="L66" s="9"/>
      <c r="M66" s="10" t="s">
        <v>54</v>
      </c>
      <c r="N66" s="7"/>
      <c r="O66" s="7"/>
    </row>
    <row r="67" spans="1:15" customFormat="1" ht="12.75" customHeight="1" x14ac:dyDescent="0.25">
      <c r="A67" s="7" t="s">
        <v>92</v>
      </c>
      <c r="B67" s="7"/>
      <c r="C67" s="124"/>
      <c r="D67" s="124"/>
      <c r="E67" s="124"/>
      <c r="F67" s="124"/>
      <c r="G67" s="124"/>
      <c r="H67" s="124"/>
      <c r="I67" s="124"/>
      <c r="J67" s="124"/>
      <c r="K67" s="124"/>
      <c r="L67" s="124"/>
      <c r="M67" s="77">
        <v>0</v>
      </c>
      <c r="N67" s="7"/>
      <c r="O67" s="7"/>
    </row>
    <row r="68" spans="1:15" customFormat="1" ht="12.75" customHeight="1" x14ac:dyDescent="0.25">
      <c r="A68" s="7" t="s">
        <v>235</v>
      </c>
      <c r="B68" s="7"/>
      <c r="C68" s="124"/>
      <c r="D68" s="124"/>
      <c r="E68" s="124"/>
      <c r="F68" s="124"/>
      <c r="G68" s="124"/>
      <c r="H68" s="124"/>
      <c r="I68" s="124"/>
      <c r="J68" s="124"/>
      <c r="K68" s="124"/>
      <c r="L68" s="124"/>
      <c r="M68" s="77">
        <v>123558.82809875</v>
      </c>
      <c r="N68" s="7"/>
      <c r="O68" s="7"/>
    </row>
    <row r="69" spans="1:15" customFormat="1" ht="12.75" customHeight="1" x14ac:dyDescent="0.25">
      <c r="A69" s="7" t="s">
        <v>91</v>
      </c>
      <c r="B69" s="7"/>
      <c r="C69" s="124"/>
      <c r="D69" s="124"/>
      <c r="E69" s="124"/>
      <c r="F69" s="124"/>
      <c r="G69" s="124"/>
      <c r="H69" s="124"/>
      <c r="I69" s="124"/>
      <c r="J69" s="124"/>
      <c r="K69" s="124"/>
      <c r="L69" s="124"/>
      <c r="M69" s="77">
        <v>86.444978509985958</v>
      </c>
      <c r="N69" s="7"/>
      <c r="O69" s="7"/>
    </row>
    <row r="70" spans="1:15" customFormat="1" ht="12.75" customHeight="1" x14ac:dyDescent="0.25">
      <c r="A70" s="7" t="s">
        <v>88</v>
      </c>
      <c r="B70" s="7"/>
      <c r="C70" s="124"/>
      <c r="D70" s="124"/>
      <c r="E70" s="124"/>
      <c r="F70" s="124"/>
      <c r="G70" s="124"/>
      <c r="H70" s="124"/>
      <c r="I70" s="124"/>
      <c r="J70" s="124"/>
      <c r="K70" s="124"/>
      <c r="L70" s="124"/>
      <c r="M70" s="77">
        <v>-126.03726754</v>
      </c>
      <c r="N70" s="7"/>
      <c r="O70" s="7"/>
    </row>
    <row r="71" spans="1:15" customFormat="1" ht="12.75" customHeight="1" x14ac:dyDescent="0.25">
      <c r="A71" s="7" t="s">
        <v>89</v>
      </c>
      <c r="B71" s="7"/>
      <c r="C71" s="124"/>
      <c r="D71" s="124"/>
      <c r="E71" s="124"/>
      <c r="F71" s="124"/>
      <c r="G71" s="124"/>
      <c r="H71" s="124"/>
      <c r="I71" s="124"/>
      <c r="J71" s="124"/>
      <c r="K71" s="124"/>
      <c r="L71" s="124"/>
      <c r="M71" s="77">
        <v>2469.8453204900147</v>
      </c>
      <c r="N71" s="7"/>
      <c r="O71" s="7"/>
    </row>
    <row r="72" spans="1:15" customFormat="1" ht="12.75" customHeight="1" thickBot="1" x14ac:dyDescent="0.3">
      <c r="A72" s="6" t="s">
        <v>93</v>
      </c>
      <c r="B72" s="7"/>
      <c r="C72" s="125"/>
      <c r="D72" s="125"/>
      <c r="E72" s="125"/>
      <c r="F72" s="125"/>
      <c r="G72" s="125"/>
      <c r="H72" s="125"/>
      <c r="I72" s="125"/>
      <c r="J72" s="125"/>
      <c r="K72" s="125"/>
      <c r="L72" s="125"/>
      <c r="M72" s="161">
        <v>125989</v>
      </c>
      <c r="N72" s="7"/>
      <c r="O72" s="7"/>
    </row>
    <row r="73" spans="1:15" customFormat="1" ht="12.75" customHeight="1" x14ac:dyDescent="0.25">
      <c r="A73" s="7"/>
      <c r="B73" s="7"/>
      <c r="C73" s="7"/>
      <c r="D73" s="7"/>
      <c r="E73" s="7"/>
      <c r="F73" s="7"/>
      <c r="G73" s="7"/>
      <c r="H73" s="7"/>
      <c r="I73" s="7"/>
      <c r="J73" s="7"/>
      <c r="K73" s="7"/>
      <c r="L73" s="7"/>
      <c r="M73" s="7"/>
      <c r="N73" s="7"/>
      <c r="O73" s="7"/>
    </row>
    <row r="74" spans="1:15" customFormat="1" ht="18" x14ac:dyDescent="0.25">
      <c r="A74" s="4" t="s">
        <v>314</v>
      </c>
      <c r="B74" s="5"/>
      <c r="C74" s="5"/>
      <c r="D74" s="5"/>
      <c r="E74" s="5"/>
      <c r="F74" s="5"/>
      <c r="G74" s="5"/>
      <c r="H74" s="5"/>
      <c r="I74" s="5"/>
      <c r="J74" s="5"/>
      <c r="K74" s="5"/>
      <c r="L74" s="5"/>
      <c r="M74" s="5"/>
      <c r="N74" s="5"/>
      <c r="O74" s="7"/>
    </row>
    <row r="75" spans="1:15" customFormat="1" ht="12.75" customHeight="1" x14ac:dyDescent="0.25">
      <c r="A75" s="7"/>
      <c r="B75" s="7"/>
      <c r="C75" s="7"/>
      <c r="D75" s="7"/>
      <c r="E75" s="7"/>
      <c r="F75" s="7"/>
      <c r="G75" s="7"/>
      <c r="H75" s="7"/>
      <c r="I75" s="7"/>
      <c r="J75" s="7"/>
      <c r="K75" s="7"/>
      <c r="L75" s="7"/>
      <c r="M75" s="7"/>
      <c r="N75" s="7"/>
      <c r="O75" s="7"/>
    </row>
    <row r="76" spans="1:15" customFormat="1" ht="12.75" customHeight="1" x14ac:dyDescent="0.25">
      <c r="A76" s="7"/>
      <c r="B76" s="9"/>
      <c r="C76" s="9"/>
      <c r="D76" s="9"/>
      <c r="E76" s="9"/>
      <c r="F76" s="9"/>
      <c r="G76" s="9"/>
      <c r="H76" s="9"/>
      <c r="I76" s="9"/>
      <c r="J76" s="9"/>
      <c r="K76" s="9"/>
      <c r="L76" s="9"/>
      <c r="M76" s="9" t="s">
        <v>311</v>
      </c>
      <c r="N76" s="7"/>
      <c r="O76" s="7"/>
    </row>
    <row r="77" spans="1:15" customFormat="1" ht="12.75" customHeight="1" thickBot="1" x14ac:dyDescent="0.3">
      <c r="A77" s="7"/>
      <c r="B77" s="9"/>
      <c r="C77" s="9"/>
      <c r="D77" s="9"/>
      <c r="E77" s="9"/>
      <c r="F77" s="9"/>
      <c r="G77" s="9"/>
      <c r="H77" s="9"/>
      <c r="I77" s="9"/>
      <c r="J77" s="9"/>
      <c r="K77" s="9"/>
      <c r="L77" s="9"/>
      <c r="M77" s="10" t="s">
        <v>54</v>
      </c>
      <c r="N77" s="7"/>
      <c r="O77" s="7"/>
    </row>
    <row r="78" spans="1:15" customFormat="1" ht="12.75" customHeight="1" x14ac:dyDescent="0.25">
      <c r="A78" s="7" t="s">
        <v>92</v>
      </c>
      <c r="B78" s="7"/>
      <c r="C78" s="124"/>
      <c r="D78" s="124"/>
      <c r="E78" s="124"/>
      <c r="F78" s="124"/>
      <c r="G78" s="124"/>
      <c r="H78" s="124"/>
      <c r="I78" s="124"/>
      <c r="J78" s="124"/>
      <c r="K78" s="124"/>
      <c r="L78" s="124"/>
      <c r="M78" s="77">
        <v>0</v>
      </c>
      <c r="N78" s="7"/>
      <c r="O78" s="7"/>
    </row>
    <row r="79" spans="1:15" customFormat="1" ht="12.75" customHeight="1" x14ac:dyDescent="0.25">
      <c r="A79" s="7" t="s">
        <v>235</v>
      </c>
      <c r="B79" s="7"/>
      <c r="C79" s="124"/>
      <c r="D79" s="124"/>
      <c r="E79" s="124"/>
      <c r="F79" s="124"/>
      <c r="G79" s="124"/>
      <c r="H79" s="124"/>
      <c r="I79" s="124"/>
      <c r="J79" s="124"/>
      <c r="K79" s="124"/>
      <c r="L79" s="124"/>
      <c r="M79" s="77">
        <v>172699.22714516</v>
      </c>
      <c r="N79" s="7"/>
      <c r="O79" s="7"/>
    </row>
    <row r="80" spans="1:15" customFormat="1" ht="12.75" customHeight="1" x14ac:dyDescent="0.25">
      <c r="A80" s="7" t="s">
        <v>91</v>
      </c>
      <c r="B80" s="7"/>
      <c r="C80" s="124"/>
      <c r="D80" s="124"/>
      <c r="E80" s="124"/>
      <c r="F80" s="124"/>
      <c r="G80" s="124"/>
      <c r="H80" s="124"/>
      <c r="I80" s="124"/>
      <c r="J80" s="124"/>
      <c r="K80" s="124"/>
      <c r="L80" s="124"/>
      <c r="M80" s="77">
        <v>86.781630970013794</v>
      </c>
      <c r="N80" s="7"/>
      <c r="O80" s="7"/>
    </row>
    <row r="81" spans="1:15" customFormat="1" ht="12.75" customHeight="1" x14ac:dyDescent="0.25">
      <c r="A81" s="7" t="s">
        <v>89</v>
      </c>
      <c r="B81" s="7"/>
      <c r="C81" s="124"/>
      <c r="D81" s="124"/>
      <c r="E81" s="124"/>
      <c r="F81" s="124"/>
      <c r="G81" s="124"/>
      <c r="H81" s="124"/>
      <c r="I81" s="124"/>
      <c r="J81" s="124"/>
      <c r="K81" s="124"/>
      <c r="L81" s="124"/>
      <c r="M81" s="77">
        <v>2384.9569370399986</v>
      </c>
      <c r="N81" s="7"/>
      <c r="O81" s="7"/>
    </row>
    <row r="82" spans="1:15" customFormat="1" ht="12.75" customHeight="1" thickBot="1" x14ac:dyDescent="0.3">
      <c r="A82" s="6" t="s">
        <v>93</v>
      </c>
      <c r="B82" s="7"/>
      <c r="C82" s="125"/>
      <c r="D82" s="125"/>
      <c r="E82" s="125"/>
      <c r="F82" s="125"/>
      <c r="G82" s="125"/>
      <c r="H82" s="125"/>
      <c r="I82" s="125"/>
      <c r="J82" s="125"/>
      <c r="K82" s="125"/>
      <c r="L82" s="125"/>
      <c r="M82" s="126">
        <v>175171</v>
      </c>
      <c r="N82" s="7"/>
      <c r="O82" s="7"/>
    </row>
    <row r="83" spans="1:15" customFormat="1" ht="12.75" customHeight="1" x14ac:dyDescent="0.25">
      <c r="A83" s="7"/>
      <c r="B83" s="7"/>
      <c r="C83" s="7"/>
      <c r="D83" s="7"/>
      <c r="E83" s="7"/>
      <c r="F83" s="7"/>
      <c r="G83" s="7"/>
      <c r="H83" s="7"/>
      <c r="I83" s="7"/>
      <c r="J83" s="7"/>
      <c r="K83" s="7"/>
      <c r="L83" s="7"/>
      <c r="M83" s="7"/>
      <c r="N83" s="7"/>
      <c r="O83" s="7"/>
    </row>
    <row r="84" spans="1:15" customFormat="1" ht="18" x14ac:dyDescent="0.25">
      <c r="A84" s="4" t="s">
        <v>232</v>
      </c>
      <c r="B84" s="5"/>
      <c r="C84" s="5"/>
      <c r="D84" s="5"/>
      <c r="E84" s="5"/>
      <c r="F84" s="5"/>
      <c r="G84" s="5"/>
      <c r="H84" s="5"/>
      <c r="I84" s="5"/>
      <c r="J84" s="5"/>
      <c r="K84" s="5"/>
      <c r="L84" s="5"/>
      <c r="M84" s="5"/>
      <c r="N84" s="5"/>
      <c r="O84" s="7"/>
    </row>
    <row r="85" spans="1:15" customFormat="1" ht="12.75" customHeight="1" x14ac:dyDescent="0.25">
      <c r="A85" s="7"/>
      <c r="B85" s="7"/>
      <c r="C85" s="7"/>
      <c r="D85" s="7"/>
      <c r="E85" s="7"/>
      <c r="F85" s="7"/>
      <c r="G85" s="7"/>
      <c r="H85" s="7"/>
      <c r="I85" s="7"/>
      <c r="J85" s="7"/>
      <c r="K85" s="7"/>
      <c r="L85" s="7"/>
      <c r="M85" s="7"/>
      <c r="N85" s="7"/>
      <c r="O85" s="7"/>
    </row>
    <row r="86" spans="1:15" customFormat="1" ht="12.75" customHeight="1" x14ac:dyDescent="0.25">
      <c r="A86" s="7"/>
      <c r="B86" s="9" t="s">
        <v>94</v>
      </c>
      <c r="C86" s="9" t="s">
        <v>95</v>
      </c>
      <c r="D86" s="9" t="s">
        <v>96</v>
      </c>
      <c r="E86" s="9" t="s">
        <v>97</v>
      </c>
      <c r="F86" s="9" t="s">
        <v>98</v>
      </c>
      <c r="G86" s="9" t="s">
        <v>99</v>
      </c>
      <c r="H86" s="9" t="s">
        <v>100</v>
      </c>
      <c r="I86" s="9" t="s">
        <v>101</v>
      </c>
      <c r="J86" s="15"/>
      <c r="K86" s="15"/>
      <c r="L86" s="15"/>
      <c r="M86" s="15"/>
      <c r="N86" s="7"/>
      <c r="O86" s="7"/>
    </row>
    <row r="87" spans="1:15" customFormat="1" ht="12.75" customHeight="1" thickBot="1" x14ac:dyDescent="0.3">
      <c r="A87" s="7"/>
      <c r="B87" s="10" t="s">
        <v>54</v>
      </c>
      <c r="C87" s="10" t="s">
        <v>54</v>
      </c>
      <c r="D87" s="10" t="s">
        <v>54</v>
      </c>
      <c r="E87" s="10" t="s">
        <v>54</v>
      </c>
      <c r="F87" s="10" t="s">
        <v>54</v>
      </c>
      <c r="G87" s="10" t="s">
        <v>54</v>
      </c>
      <c r="H87" s="10" t="s">
        <v>54</v>
      </c>
      <c r="I87" s="10" t="s">
        <v>54</v>
      </c>
      <c r="J87" s="15"/>
      <c r="K87" s="15"/>
      <c r="L87" s="15"/>
      <c r="M87" s="15"/>
      <c r="N87" s="7"/>
      <c r="O87" s="7"/>
    </row>
    <row r="88" spans="1:15" customFormat="1" ht="12.75" customHeight="1" x14ac:dyDescent="0.25">
      <c r="A88" s="7" t="s">
        <v>92</v>
      </c>
      <c r="B88" s="60">
        <v>619</v>
      </c>
      <c r="C88" s="60">
        <v>630</v>
      </c>
      <c r="D88" s="60">
        <v>589</v>
      </c>
      <c r="E88" s="60">
        <v>617</v>
      </c>
      <c r="F88" s="60">
        <v>620</v>
      </c>
      <c r="G88" s="60">
        <v>613</v>
      </c>
      <c r="H88" s="60">
        <v>623</v>
      </c>
      <c r="I88" s="60">
        <v>553</v>
      </c>
      <c r="J88" s="63"/>
      <c r="K88" s="63"/>
      <c r="L88" s="63"/>
      <c r="M88" s="63"/>
      <c r="N88" s="7"/>
      <c r="O88" s="7"/>
    </row>
    <row r="89" spans="1:15" customFormat="1" ht="12.75" customHeight="1" x14ac:dyDescent="0.25">
      <c r="A89" s="7" t="s">
        <v>91</v>
      </c>
      <c r="B89" s="60">
        <v>-9</v>
      </c>
      <c r="C89" s="60">
        <v>-7</v>
      </c>
      <c r="D89" s="60">
        <v>0</v>
      </c>
      <c r="E89" s="60">
        <v>-11</v>
      </c>
      <c r="F89" s="60">
        <v>-14</v>
      </c>
      <c r="G89" s="60">
        <v>-8</v>
      </c>
      <c r="H89" s="60">
        <v>-11</v>
      </c>
      <c r="I89" s="60">
        <v>0</v>
      </c>
      <c r="J89" s="63"/>
      <c r="K89" s="63"/>
      <c r="L89" s="63"/>
      <c r="M89" s="63"/>
      <c r="N89" s="7"/>
      <c r="O89" s="7"/>
    </row>
    <row r="90" spans="1:15" customFormat="1" ht="12.75" customHeight="1" x14ac:dyDescent="0.25">
      <c r="A90" s="7" t="s">
        <v>89</v>
      </c>
      <c r="B90" s="60">
        <v>20</v>
      </c>
      <c r="C90" s="60">
        <v>-34</v>
      </c>
      <c r="D90" s="60">
        <v>28</v>
      </c>
      <c r="E90" s="60">
        <v>14</v>
      </c>
      <c r="F90" s="60">
        <v>7</v>
      </c>
      <c r="G90" s="60">
        <v>18</v>
      </c>
      <c r="H90" s="60">
        <v>-59</v>
      </c>
      <c r="I90" s="60">
        <v>0</v>
      </c>
      <c r="J90" s="63"/>
      <c r="K90" s="63"/>
      <c r="L90" s="63"/>
      <c r="M90" s="63"/>
      <c r="N90" s="7"/>
      <c r="O90" s="7"/>
    </row>
    <row r="91" spans="1:15" customFormat="1" ht="12.75" customHeight="1" x14ac:dyDescent="0.25">
      <c r="A91" s="7" t="s">
        <v>236</v>
      </c>
      <c r="B91" s="60">
        <v>0</v>
      </c>
      <c r="C91" s="60">
        <v>0</v>
      </c>
      <c r="D91" s="60">
        <v>0</v>
      </c>
      <c r="E91" s="60">
        <v>0</v>
      </c>
      <c r="F91" s="60">
        <v>0</v>
      </c>
      <c r="G91" s="60">
        <v>0</v>
      </c>
      <c r="H91" s="60">
        <v>0</v>
      </c>
      <c r="I91" s="60">
        <v>-553</v>
      </c>
      <c r="J91" s="63"/>
      <c r="K91" s="63"/>
      <c r="L91" s="63"/>
      <c r="M91" s="63"/>
      <c r="N91" s="7"/>
      <c r="O91" s="7"/>
    </row>
    <row r="92" spans="1:15" customFormat="1" ht="12.75" customHeight="1" thickBot="1" x14ac:dyDescent="0.3">
      <c r="A92" s="6" t="s">
        <v>93</v>
      </c>
      <c r="B92" s="61">
        <v>630</v>
      </c>
      <c r="C92" s="61">
        <v>589</v>
      </c>
      <c r="D92" s="61">
        <v>617</v>
      </c>
      <c r="E92" s="61">
        <v>620</v>
      </c>
      <c r="F92" s="61">
        <v>613</v>
      </c>
      <c r="G92" s="61">
        <v>623</v>
      </c>
      <c r="H92" s="61">
        <v>553</v>
      </c>
      <c r="I92" s="61">
        <v>0</v>
      </c>
      <c r="J92" s="64"/>
      <c r="K92" s="64"/>
      <c r="L92" s="64"/>
      <c r="M92" s="64"/>
      <c r="N92" s="7"/>
      <c r="O92" s="7"/>
    </row>
    <row r="93" spans="1:15" ht="12.75" customHeight="1" x14ac:dyDescent="0.2"/>
    <row r="94" spans="1:15" ht="12.75" customHeight="1" x14ac:dyDescent="0.2"/>
    <row r="95" spans="1:15" ht="12.75" customHeight="1" x14ac:dyDescent="0.2">
      <c r="B95" s="59"/>
      <c r="C95" s="59"/>
      <c r="D95" s="59"/>
      <c r="E95" s="59"/>
      <c r="F95" s="59"/>
      <c r="G95" s="59"/>
      <c r="H95" s="59"/>
      <c r="I95" s="59"/>
    </row>
    <row r="96" spans="1:15" ht="12.75" customHeight="1" x14ac:dyDescent="0.2">
      <c r="B96" s="59"/>
      <c r="C96" s="59"/>
      <c r="D96" s="59"/>
      <c r="E96" s="59"/>
      <c r="F96" s="59"/>
      <c r="G96" s="59"/>
      <c r="H96" s="59"/>
      <c r="I96" s="59"/>
    </row>
    <row r="97" spans="2:9" x14ac:dyDescent="0.2">
      <c r="B97" s="59"/>
      <c r="C97" s="59"/>
      <c r="D97" s="59"/>
      <c r="E97" s="59"/>
      <c r="F97" s="59"/>
      <c r="G97" s="59"/>
      <c r="H97" s="59"/>
      <c r="I97" s="59"/>
    </row>
    <row r="98" spans="2:9" x14ac:dyDescent="0.2">
      <c r="B98" s="59"/>
      <c r="C98" s="59"/>
      <c r="D98" s="59"/>
      <c r="E98" s="59"/>
      <c r="F98" s="59"/>
      <c r="G98" s="59"/>
      <c r="H98" s="59"/>
      <c r="I98" s="59"/>
    </row>
    <row r="99" spans="2:9" x14ac:dyDescent="0.2">
      <c r="B99" s="59"/>
      <c r="C99" s="59"/>
      <c r="D99" s="59"/>
      <c r="E99" s="59"/>
      <c r="F99" s="59"/>
      <c r="G99" s="59"/>
      <c r="H99" s="59"/>
      <c r="I99" s="59"/>
    </row>
    <row r="100" spans="2:9" x14ac:dyDescent="0.2">
      <c r="B100" s="59"/>
      <c r="C100" s="59"/>
      <c r="D100" s="59"/>
      <c r="E100" s="59"/>
      <c r="F100" s="59"/>
      <c r="G100" s="59"/>
      <c r="H100" s="59"/>
      <c r="I100" s="59"/>
    </row>
  </sheetData>
  <phoneticPr fontId="6" type="noConversion"/>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2" manualBreakCount="2">
    <brk id="37" max="16383" man="1"/>
    <brk id="73"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E04509-8955-4906-B5EF-23B611515041}">
  <sheetPr>
    <pageSetUpPr fitToPage="1"/>
  </sheetPr>
  <dimension ref="A1:L25"/>
  <sheetViews>
    <sheetView showGridLines="0" zoomScaleNormal="100" workbookViewId="0">
      <selection activeCell="O5" sqref="O5"/>
    </sheetView>
  </sheetViews>
  <sheetFormatPr defaultRowHeight="12.75" x14ac:dyDescent="0.2"/>
  <cols>
    <col min="1" max="1" width="26.140625" style="7" customWidth="1"/>
    <col min="2" max="7" width="9.140625" style="7"/>
    <col min="8" max="12" width="15.85546875"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315</v>
      </c>
      <c r="B3" s="5"/>
      <c r="C3" s="5"/>
      <c r="D3" s="5"/>
      <c r="E3" s="5"/>
      <c r="F3" s="5"/>
      <c r="G3" s="5"/>
      <c r="H3" s="5"/>
      <c r="I3" s="5"/>
      <c r="J3" s="5"/>
      <c r="K3" s="5"/>
      <c r="L3" s="5"/>
    </row>
    <row r="5" spans="1:12" x14ac:dyDescent="0.2">
      <c r="B5" s="9" t="s">
        <v>49</v>
      </c>
      <c r="C5" s="9" t="s">
        <v>50</v>
      </c>
      <c r="D5" s="9" t="s">
        <v>51</v>
      </c>
      <c r="E5" s="9" t="s">
        <v>52</v>
      </c>
      <c r="F5" s="9" t="s">
        <v>53</v>
      </c>
      <c r="G5" s="9" t="s">
        <v>308</v>
      </c>
      <c r="H5" s="9"/>
      <c r="I5" s="9"/>
      <c r="J5" s="9"/>
      <c r="K5" s="9"/>
    </row>
    <row r="6" spans="1:12" ht="13.5" thickBot="1" x14ac:dyDescent="0.25">
      <c r="B6" s="10" t="s">
        <v>54</v>
      </c>
      <c r="C6" s="10" t="s">
        <v>54</v>
      </c>
      <c r="D6" s="10" t="s">
        <v>54</v>
      </c>
      <c r="E6" s="10" t="s">
        <v>54</v>
      </c>
      <c r="F6" s="10" t="s">
        <v>54</v>
      </c>
      <c r="G6" s="10" t="s">
        <v>54</v>
      </c>
      <c r="H6" s="9"/>
      <c r="I6" s="9"/>
      <c r="J6" s="9"/>
      <c r="K6" s="9"/>
    </row>
    <row r="7" spans="1:12" x14ac:dyDescent="0.2">
      <c r="A7" s="7" t="s">
        <v>92</v>
      </c>
      <c r="B7" s="47">
        <v>0</v>
      </c>
      <c r="C7" s="47">
        <f>B13</f>
        <v>168.1</v>
      </c>
      <c r="D7" s="47">
        <f t="shared" ref="D7:G7" si="0">C13</f>
        <v>391.97468600000002</v>
      </c>
      <c r="E7" s="47">
        <f>D13</f>
        <v>376.52825687000001</v>
      </c>
      <c r="F7" s="47">
        <f t="shared" si="0"/>
        <v>432.67414827999994</v>
      </c>
      <c r="G7" s="47">
        <f t="shared" si="0"/>
        <v>409.52860026999997</v>
      </c>
    </row>
    <row r="8" spans="1:12" x14ac:dyDescent="0.2">
      <c r="A8" s="8" t="s">
        <v>147</v>
      </c>
      <c r="B8" s="47">
        <v>168.1</v>
      </c>
      <c r="C8" s="47">
        <v>0</v>
      </c>
      <c r="D8" s="47">
        <v>0</v>
      </c>
      <c r="E8" s="47">
        <v>0</v>
      </c>
      <c r="F8" s="47">
        <v>0</v>
      </c>
      <c r="G8" s="47">
        <v>0</v>
      </c>
    </row>
    <row r="9" spans="1:12" x14ac:dyDescent="0.2">
      <c r="A9" s="8" t="s">
        <v>245</v>
      </c>
      <c r="B9" s="47">
        <v>0</v>
      </c>
      <c r="C9" s="47">
        <v>238.38499999999999</v>
      </c>
      <c r="D9" s="47">
        <v>0</v>
      </c>
      <c r="E9" s="47">
        <v>80.394999999999996</v>
      </c>
      <c r="F9" s="47">
        <v>13.668248999999999</v>
      </c>
      <c r="G9" s="47">
        <v>44.4</v>
      </c>
    </row>
    <row r="10" spans="1:12" x14ac:dyDescent="0.2">
      <c r="A10" s="6" t="s">
        <v>146</v>
      </c>
      <c r="B10" s="47"/>
      <c r="C10" s="47"/>
      <c r="D10" s="47"/>
      <c r="E10" s="47"/>
      <c r="F10" s="47"/>
      <c r="G10" s="47"/>
    </row>
    <row r="11" spans="1:12" x14ac:dyDescent="0.2">
      <c r="A11" s="8" t="s">
        <v>230</v>
      </c>
      <c r="B11" s="47">
        <v>0</v>
      </c>
      <c r="C11" s="47">
        <v>-4.5055899999999998</v>
      </c>
      <c r="D11" s="47">
        <v>-6.0835368299999999</v>
      </c>
      <c r="E11" s="47">
        <v>-8.319053610000001</v>
      </c>
      <c r="F11" s="47">
        <v>-23.167604219999991</v>
      </c>
      <c r="G11" s="47">
        <v>-62</v>
      </c>
    </row>
    <row r="12" spans="1:12" x14ac:dyDescent="0.2">
      <c r="A12" s="8" t="s">
        <v>231</v>
      </c>
      <c r="B12" s="47">
        <v>0</v>
      </c>
      <c r="C12" s="47">
        <v>-10.004724</v>
      </c>
      <c r="D12" s="47">
        <v>-9.3628923000000004</v>
      </c>
      <c r="E12" s="47">
        <v>-15.930054980000001</v>
      </c>
      <c r="F12" s="47">
        <v>-13.646192790000001</v>
      </c>
      <c r="G12" s="47">
        <v>-14.712315449999998</v>
      </c>
    </row>
    <row r="13" spans="1:12" ht="13.5" thickBot="1" x14ac:dyDescent="0.25">
      <c r="A13" s="6" t="s">
        <v>93</v>
      </c>
      <c r="B13" s="51">
        <f t="shared" ref="B13:G13" si="1">SUM(B7:B12)</f>
        <v>168.1</v>
      </c>
      <c r="C13" s="51">
        <f t="shared" si="1"/>
        <v>391.97468600000002</v>
      </c>
      <c r="D13" s="51">
        <f t="shared" si="1"/>
        <v>376.52825687000001</v>
      </c>
      <c r="E13" s="51">
        <f t="shared" si="1"/>
        <v>432.67414827999994</v>
      </c>
      <c r="F13" s="51">
        <f t="shared" si="1"/>
        <v>409.52860026999997</v>
      </c>
      <c r="G13" s="51">
        <f t="shared" si="1"/>
        <v>377.21628481999994</v>
      </c>
    </row>
    <row r="15" spans="1:12" s="3" customFormat="1" ht="18" x14ac:dyDescent="0.25">
      <c r="A15" s="4" t="s">
        <v>316</v>
      </c>
      <c r="B15" s="5"/>
      <c r="C15" s="5"/>
      <c r="D15" s="5"/>
      <c r="E15" s="5"/>
      <c r="F15" s="5"/>
      <c r="G15" s="5"/>
      <c r="H15" s="5"/>
      <c r="I15" s="5"/>
      <c r="J15" s="5"/>
      <c r="K15" s="5"/>
      <c r="L15" s="5"/>
    </row>
    <row r="17" spans="1:12" x14ac:dyDescent="0.2">
      <c r="B17" s="15"/>
      <c r="C17" s="15"/>
      <c r="D17" s="15"/>
      <c r="E17" s="9" t="s">
        <v>52</v>
      </c>
      <c r="F17" s="9" t="s">
        <v>53</v>
      </c>
      <c r="G17" s="9" t="s">
        <v>308</v>
      </c>
      <c r="H17" s="9"/>
      <c r="I17" s="9"/>
      <c r="J17" s="9"/>
      <c r="K17" s="9"/>
    </row>
    <row r="18" spans="1:12" ht="13.5" thickBot="1" x14ac:dyDescent="0.25">
      <c r="B18" s="15"/>
      <c r="C18" s="15"/>
      <c r="D18" s="15"/>
      <c r="E18" s="10" t="s">
        <v>54</v>
      </c>
      <c r="F18" s="10" t="s">
        <v>54</v>
      </c>
      <c r="G18" s="10" t="s">
        <v>54</v>
      </c>
      <c r="H18" s="9"/>
      <c r="I18" s="9"/>
      <c r="J18" s="9"/>
      <c r="K18" s="9"/>
    </row>
    <row r="19" spans="1:12" x14ac:dyDescent="0.2">
      <c r="A19" s="7" t="s">
        <v>92</v>
      </c>
      <c r="B19" s="91"/>
      <c r="C19" s="91"/>
      <c r="D19" s="91"/>
      <c r="E19" s="47">
        <v>0</v>
      </c>
      <c r="F19" s="47">
        <f>E25</f>
        <v>174.714</v>
      </c>
      <c r="G19" s="47">
        <f>F25</f>
        <v>165.714</v>
      </c>
    </row>
    <row r="20" spans="1:12" x14ac:dyDescent="0.2">
      <c r="A20" s="8" t="s">
        <v>147</v>
      </c>
      <c r="B20" s="91"/>
      <c r="C20" s="91"/>
      <c r="D20" s="91"/>
      <c r="E20" s="47">
        <v>179.99700000000001</v>
      </c>
      <c r="F20" s="47">
        <v>0</v>
      </c>
      <c r="G20" s="47">
        <v>164.5</v>
      </c>
    </row>
    <row r="21" spans="1:12" x14ac:dyDescent="0.2">
      <c r="A21" s="8" t="s">
        <v>245</v>
      </c>
      <c r="B21" s="91"/>
      <c r="C21" s="91"/>
      <c r="D21" s="91"/>
      <c r="E21" s="47">
        <v>-1.2430000000000001</v>
      </c>
      <c r="F21" s="47">
        <v>1.1000000000000001</v>
      </c>
      <c r="G21" s="47">
        <v>11.5</v>
      </c>
    </row>
    <row r="22" spans="1:12" s="20" customFormat="1" x14ac:dyDescent="0.2">
      <c r="A22" s="6" t="s">
        <v>146</v>
      </c>
      <c r="B22" s="91"/>
      <c r="C22" s="91"/>
      <c r="D22" s="91"/>
      <c r="E22" s="47"/>
      <c r="F22" s="47"/>
      <c r="G22" s="47"/>
      <c r="H22" s="7"/>
      <c r="I22" s="7"/>
      <c r="J22" s="7"/>
      <c r="K22" s="7"/>
      <c r="L22" s="7"/>
    </row>
    <row r="23" spans="1:12" x14ac:dyDescent="0.2">
      <c r="A23" s="8" t="s">
        <v>230</v>
      </c>
      <c r="B23" s="91"/>
      <c r="C23" s="91"/>
      <c r="D23" s="91"/>
      <c r="E23" s="47">
        <v>-1.77</v>
      </c>
      <c r="F23" s="47">
        <v>-5.4</v>
      </c>
      <c r="G23" s="47">
        <v>-53.774000000000001</v>
      </c>
    </row>
    <row r="24" spans="1:12" x14ac:dyDescent="0.2">
      <c r="A24" s="8" t="s">
        <v>231</v>
      </c>
      <c r="B24" s="91"/>
      <c r="C24" s="91"/>
      <c r="D24" s="91"/>
      <c r="E24" s="47">
        <v>-2.27</v>
      </c>
      <c r="F24" s="47">
        <v>-4.7</v>
      </c>
      <c r="G24" s="47">
        <v>-6.230999999999999</v>
      </c>
    </row>
    <row r="25" spans="1:12" ht="13.5" thickBot="1" x14ac:dyDescent="0.25">
      <c r="A25" s="6" t="s">
        <v>93</v>
      </c>
      <c r="B25" s="92"/>
      <c r="C25" s="127"/>
      <c r="D25" s="127"/>
      <c r="E25" s="51">
        <f t="shared" ref="E25:G25" si="2">SUM(E19:E24)</f>
        <v>174.714</v>
      </c>
      <c r="F25" s="51">
        <f t="shared" si="2"/>
        <v>165.714</v>
      </c>
      <c r="G25" s="51">
        <f t="shared" si="2"/>
        <v>281.709</v>
      </c>
    </row>
  </sheetData>
  <phoneticPr fontId="6" type="noConversion"/>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3D0B8D-C1F1-44AD-ACA6-506FD4C83235}">
  <sheetPr>
    <pageSetUpPr fitToPage="1"/>
  </sheetPr>
  <dimension ref="A1:L31"/>
  <sheetViews>
    <sheetView showGridLines="0" zoomScaleNormal="100" workbookViewId="0">
      <selection activeCell="O5" sqref="O5"/>
    </sheetView>
  </sheetViews>
  <sheetFormatPr defaultRowHeight="12.75" x14ac:dyDescent="0.2"/>
  <cols>
    <col min="1" max="1" width="74.28515625" style="7" bestFit="1" customWidth="1"/>
    <col min="2" max="7" width="9.140625" style="7"/>
    <col min="8" max="12" width="6.140625"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148</v>
      </c>
      <c r="B3" s="5"/>
      <c r="C3" s="5"/>
      <c r="D3" s="5"/>
      <c r="E3" s="5"/>
      <c r="F3" s="5"/>
      <c r="G3" s="5"/>
      <c r="H3" s="5"/>
      <c r="I3" s="5"/>
      <c r="J3" s="5"/>
      <c r="K3" s="5"/>
      <c r="L3" s="5"/>
    </row>
    <row r="5" spans="1:12" x14ac:dyDescent="0.2">
      <c r="B5" s="15" t="s">
        <v>49</v>
      </c>
      <c r="C5" s="15" t="s">
        <v>50</v>
      </c>
      <c r="D5" s="15" t="s">
        <v>51</v>
      </c>
      <c r="E5" s="15" t="s">
        <v>52</v>
      </c>
      <c r="F5" s="15" t="s">
        <v>53</v>
      </c>
      <c r="G5" s="15" t="s">
        <v>308</v>
      </c>
      <c r="H5" s="16"/>
      <c r="I5" s="16"/>
      <c r="J5" s="19"/>
      <c r="K5" s="16"/>
      <c r="L5" s="17"/>
    </row>
    <row r="6" spans="1:12" ht="13.5" thickBot="1" x14ac:dyDescent="0.25">
      <c r="B6" s="10" t="s">
        <v>54</v>
      </c>
      <c r="C6" s="10" t="s">
        <v>54</v>
      </c>
      <c r="D6" s="10" t="s">
        <v>54</v>
      </c>
      <c r="E6" s="10" t="s">
        <v>54</v>
      </c>
      <c r="F6" s="10" t="s">
        <v>54</v>
      </c>
      <c r="G6" s="10" t="s">
        <v>54</v>
      </c>
      <c r="H6" s="16"/>
      <c r="I6" s="16"/>
      <c r="J6" s="19"/>
      <c r="K6" s="16"/>
      <c r="L6" s="17"/>
    </row>
    <row r="7" spans="1:12" x14ac:dyDescent="0.2">
      <c r="A7" s="6" t="s">
        <v>356</v>
      </c>
      <c r="B7" s="56">
        <v>135.429</v>
      </c>
      <c r="C7" s="56">
        <v>-106.869</v>
      </c>
      <c r="D7" s="56">
        <v>114.98099999999999</v>
      </c>
      <c r="E7" s="56">
        <v>31.983000000000001</v>
      </c>
      <c r="F7" s="56">
        <v>54.415999999999997</v>
      </c>
      <c r="G7" s="56">
        <v>-197.916</v>
      </c>
      <c r="H7" s="16"/>
      <c r="I7" s="16"/>
      <c r="J7" s="19"/>
      <c r="K7" s="16"/>
      <c r="L7" s="17"/>
    </row>
    <row r="8" spans="1:12" x14ac:dyDescent="0.2">
      <c r="A8" s="8" t="s">
        <v>149</v>
      </c>
      <c r="B8" s="57">
        <v>-65.861999999999995</v>
      </c>
      <c r="C8" s="57">
        <v>7.4880000000000004</v>
      </c>
      <c r="D8" s="57">
        <v>-87.176000000000002</v>
      </c>
      <c r="E8" s="57">
        <v>-0.99</v>
      </c>
      <c r="F8" s="57">
        <v>0</v>
      </c>
      <c r="G8" s="57">
        <v>0</v>
      </c>
      <c r="H8" s="16"/>
      <c r="I8" s="16"/>
      <c r="J8" s="19"/>
      <c r="K8" s="16"/>
      <c r="L8" s="17"/>
    </row>
    <row r="9" spans="1:12" x14ac:dyDescent="0.2">
      <c r="A9" s="8"/>
      <c r="B9" s="67"/>
      <c r="C9" s="67"/>
      <c r="D9" s="67"/>
      <c r="E9" s="67"/>
      <c r="F9" s="67"/>
      <c r="G9" s="67"/>
      <c r="H9" s="16"/>
      <c r="I9" s="16"/>
      <c r="J9" s="19"/>
      <c r="K9" s="16"/>
      <c r="L9" s="17"/>
    </row>
    <row r="10" spans="1:12" x14ac:dyDescent="0.2">
      <c r="A10" s="6" t="s">
        <v>150</v>
      </c>
      <c r="B10" s="56">
        <f>SUM(B7:B8)</f>
        <v>69.567000000000007</v>
      </c>
      <c r="C10" s="56">
        <f t="shared" ref="C10:G10" si="0">SUM(C7:C8)</f>
        <v>-99.381</v>
      </c>
      <c r="D10" s="56">
        <f t="shared" si="0"/>
        <v>27.804999999999993</v>
      </c>
      <c r="E10" s="56">
        <f t="shared" si="0"/>
        <v>30.993000000000002</v>
      </c>
      <c r="F10" s="56">
        <f t="shared" si="0"/>
        <v>54.415999999999997</v>
      </c>
      <c r="G10" s="56">
        <f t="shared" si="0"/>
        <v>-197.916</v>
      </c>
    </row>
    <row r="11" spans="1:12" x14ac:dyDescent="0.2">
      <c r="A11" s="6"/>
      <c r="B11" s="57"/>
      <c r="C11" s="57"/>
      <c r="D11" s="57"/>
      <c r="E11" s="57"/>
      <c r="F11" s="57"/>
      <c r="G11" s="57"/>
    </row>
    <row r="12" spans="1:12" x14ac:dyDescent="0.2">
      <c r="A12" s="21" t="s">
        <v>151</v>
      </c>
      <c r="B12" s="57"/>
      <c r="C12" s="57"/>
      <c r="D12" s="57"/>
      <c r="E12" s="57"/>
      <c r="F12" s="57"/>
      <c r="G12" s="57"/>
    </row>
    <row r="13" spans="1:12" x14ac:dyDescent="0.2">
      <c r="A13" s="8"/>
      <c r="B13" s="57"/>
      <c r="C13" s="57"/>
      <c r="D13" s="57"/>
      <c r="E13" s="57"/>
      <c r="F13" s="57"/>
      <c r="G13" s="57"/>
    </row>
    <row r="14" spans="1:12" x14ac:dyDescent="0.2">
      <c r="A14" s="8" t="s">
        <v>152</v>
      </c>
      <c r="B14" s="57">
        <v>18.965</v>
      </c>
      <c r="C14" s="57">
        <v>18.686</v>
      </c>
      <c r="D14" s="57">
        <v>18.286999999999999</v>
      </c>
      <c r="E14" s="57">
        <v>18.462</v>
      </c>
      <c r="F14" s="57">
        <v>28.178000000000001</v>
      </c>
      <c r="G14" s="57">
        <v>30.721521679999999</v>
      </c>
    </row>
    <row r="15" spans="1:12" x14ac:dyDescent="0.2">
      <c r="A15" s="8" t="s">
        <v>155</v>
      </c>
      <c r="B15" s="57">
        <v>-4.9790000000000001</v>
      </c>
      <c r="C15" s="57">
        <v>-4.9020000000000001</v>
      </c>
      <c r="D15" s="57">
        <v>-4.8579999999999997</v>
      </c>
      <c r="E15" s="57">
        <v>-4.859</v>
      </c>
      <c r="F15" s="57">
        <v>-7.665</v>
      </c>
      <c r="G15" s="57">
        <v>-7.7350000000000003</v>
      </c>
    </row>
    <row r="16" spans="1:12" x14ac:dyDescent="0.2">
      <c r="A16" s="8" t="s">
        <v>317</v>
      </c>
      <c r="B16" s="57">
        <v>4.6087620900000008</v>
      </c>
      <c r="C16" s="57">
        <v>8.6642192999999992</v>
      </c>
      <c r="D16" s="57">
        <v>4.2470000000000008</v>
      </c>
      <c r="E16" s="57">
        <v>15.413010979999999</v>
      </c>
      <c r="F16" s="57">
        <v>21.805</v>
      </c>
      <c r="G16" s="57">
        <v>28.395000000000003</v>
      </c>
    </row>
    <row r="17" spans="1:10" x14ac:dyDescent="0.2">
      <c r="A17" s="8" t="s">
        <v>284</v>
      </c>
      <c r="B17" s="57">
        <v>0</v>
      </c>
      <c r="C17" s="57">
        <v>0</v>
      </c>
      <c r="D17" s="57">
        <v>0</v>
      </c>
      <c r="E17" s="57">
        <v>0</v>
      </c>
      <c r="F17" s="57">
        <v>-59.244999999999997</v>
      </c>
      <c r="G17" s="57">
        <v>0.44500000000000028</v>
      </c>
    </row>
    <row r="18" spans="1:10" x14ac:dyDescent="0.2">
      <c r="A18" s="8" t="s">
        <v>285</v>
      </c>
      <c r="B18" s="57">
        <v>0</v>
      </c>
      <c r="C18" s="57">
        <v>0</v>
      </c>
      <c r="D18" s="57">
        <v>0</v>
      </c>
      <c r="E18" s="57">
        <v>0</v>
      </c>
      <c r="F18" s="159">
        <v>22</v>
      </c>
      <c r="G18" s="159">
        <v>2.3000000000000007</v>
      </c>
    </row>
    <row r="19" spans="1:10" x14ac:dyDescent="0.2">
      <c r="A19" s="8" t="s">
        <v>286</v>
      </c>
      <c r="B19" s="57">
        <v>0</v>
      </c>
      <c r="C19" s="57">
        <v>0</v>
      </c>
      <c r="D19" s="57">
        <v>0</v>
      </c>
      <c r="E19" s="57">
        <v>0</v>
      </c>
      <c r="F19" s="159">
        <v>0.72699999999999998</v>
      </c>
      <c r="G19" s="159">
        <v>0.57300000000000006</v>
      </c>
    </row>
    <row r="20" spans="1:10" x14ac:dyDescent="0.2">
      <c r="A20" s="8" t="s">
        <v>287</v>
      </c>
      <c r="B20" s="57">
        <v>4.0549999999999997</v>
      </c>
      <c r="C20" s="57">
        <v>6.3419999999999996</v>
      </c>
      <c r="D20" s="57">
        <v>5.1980000000000004</v>
      </c>
      <c r="E20" s="57">
        <v>6.1719999999999997</v>
      </c>
      <c r="F20" s="159">
        <v>6.4450000000000003</v>
      </c>
      <c r="G20" s="159">
        <v>6.1549999999999994</v>
      </c>
    </row>
    <row r="21" spans="1:10" x14ac:dyDescent="0.2">
      <c r="A21" s="8" t="s">
        <v>153</v>
      </c>
      <c r="B21" s="57">
        <v>0.254</v>
      </c>
      <c r="C21" s="57">
        <v>1.7889999999999999</v>
      </c>
      <c r="D21" s="57">
        <v>2.677</v>
      </c>
      <c r="E21" s="57">
        <v>0.188</v>
      </c>
      <c r="F21" s="57">
        <v>0.106</v>
      </c>
      <c r="G21" s="57">
        <v>0.99400000000000011</v>
      </c>
    </row>
    <row r="22" spans="1:10" x14ac:dyDescent="0.2">
      <c r="A22" s="8" t="s">
        <v>154</v>
      </c>
      <c r="B22" s="57">
        <v>0.23</v>
      </c>
      <c r="C22" s="57">
        <v>1.7969999999999999</v>
      </c>
      <c r="D22" s="57">
        <v>4.4009999999999998</v>
      </c>
      <c r="E22" s="159">
        <v>2.0249999999999999</v>
      </c>
      <c r="F22" s="159">
        <v>3.782</v>
      </c>
      <c r="G22" s="159">
        <v>6.218</v>
      </c>
      <c r="H22" s="81"/>
      <c r="I22" s="81"/>
      <c r="J22" s="81"/>
    </row>
    <row r="23" spans="1:10" x14ac:dyDescent="0.2">
      <c r="A23" s="8" t="s">
        <v>156</v>
      </c>
      <c r="B23" s="57">
        <v>0</v>
      </c>
      <c r="C23" s="57">
        <v>0</v>
      </c>
      <c r="D23" s="57">
        <v>0</v>
      </c>
      <c r="E23" s="159">
        <v>4.3440000000000003</v>
      </c>
      <c r="F23" s="159">
        <v>0</v>
      </c>
      <c r="G23" s="159">
        <v>199.9</v>
      </c>
      <c r="H23" s="81"/>
      <c r="I23" s="81"/>
      <c r="J23" s="81"/>
    </row>
    <row r="24" spans="1:10" x14ac:dyDescent="0.2">
      <c r="A24" s="8" t="s">
        <v>114</v>
      </c>
      <c r="B24" s="57">
        <v>3.8050000000000002</v>
      </c>
      <c r="C24" s="57">
        <v>231.47300000000001</v>
      </c>
      <c r="D24" s="57">
        <v>1.5109999999999999</v>
      </c>
      <c r="E24" s="159">
        <v>0</v>
      </c>
      <c r="F24" s="159">
        <v>0</v>
      </c>
      <c r="G24" s="159">
        <v>28.2</v>
      </c>
      <c r="H24" s="81"/>
      <c r="I24" s="81"/>
      <c r="J24" s="81"/>
    </row>
    <row r="25" spans="1:10" x14ac:dyDescent="0.2">
      <c r="A25" s="8" t="s">
        <v>157</v>
      </c>
      <c r="B25" s="57">
        <v>0</v>
      </c>
      <c r="C25" s="57">
        <v>0</v>
      </c>
      <c r="D25" s="57">
        <v>3.1869999999999998</v>
      </c>
      <c r="E25" s="159">
        <v>1.274</v>
      </c>
      <c r="F25" s="159">
        <v>0.71799999999999997</v>
      </c>
      <c r="G25" s="159">
        <v>0.48199999999999998</v>
      </c>
      <c r="H25" s="81"/>
      <c r="I25" s="81"/>
      <c r="J25" s="81"/>
    </row>
    <row r="26" spans="1:10" x14ac:dyDescent="0.2">
      <c r="A26" s="8" t="s">
        <v>318</v>
      </c>
      <c r="B26" s="57">
        <v>0</v>
      </c>
      <c r="C26" s="57">
        <v>0</v>
      </c>
      <c r="D26" s="57">
        <v>0</v>
      </c>
      <c r="E26" s="159">
        <v>0</v>
      </c>
      <c r="F26" s="159">
        <v>0</v>
      </c>
      <c r="G26" s="159">
        <v>5</v>
      </c>
      <c r="H26" s="81"/>
      <c r="I26" s="81"/>
      <c r="J26" s="81"/>
    </row>
    <row r="27" spans="1:10" x14ac:dyDescent="0.2">
      <c r="A27" s="8" t="s">
        <v>27</v>
      </c>
      <c r="B27" s="57">
        <v>-0.30399999999999999</v>
      </c>
      <c r="C27" s="57">
        <v>0.81100000000000005</v>
      </c>
      <c r="D27" s="57">
        <v>0.42199999999999999</v>
      </c>
      <c r="E27" s="57">
        <v>-0.50600000000000012</v>
      </c>
      <c r="F27" s="57">
        <v>-1.413</v>
      </c>
      <c r="G27" s="57">
        <v>-1.087</v>
      </c>
    </row>
    <row r="28" spans="1:10" x14ac:dyDescent="0.2">
      <c r="A28" s="8" t="s">
        <v>158</v>
      </c>
      <c r="B28" s="57">
        <v>-3.694</v>
      </c>
      <c r="C28" s="57">
        <v>-74.486000000000004</v>
      </c>
      <c r="D28" s="57">
        <v>-6.4009999999999998</v>
      </c>
      <c r="E28" s="57">
        <v>-5.9359999999999999</v>
      </c>
      <c r="F28" s="57">
        <v>-3.988</v>
      </c>
      <c r="G28" s="57">
        <v>-20.712</v>
      </c>
    </row>
    <row r="29" spans="1:10" x14ac:dyDescent="0.2">
      <c r="A29" s="6" t="s">
        <v>159</v>
      </c>
      <c r="B29" s="68">
        <f t="shared" ref="B29:G29" si="1">SUM(B10:B28)</f>
        <v>92.507762090000014</v>
      </c>
      <c r="C29" s="68">
        <f t="shared" si="1"/>
        <v>90.793219300000018</v>
      </c>
      <c r="D29" s="68">
        <f t="shared" si="1"/>
        <v>56.475999999999985</v>
      </c>
      <c r="E29" s="68">
        <f t="shared" si="1"/>
        <v>67.570010980000006</v>
      </c>
      <c r="F29" s="68">
        <f t="shared" si="1"/>
        <v>65.865999999999971</v>
      </c>
      <c r="G29" s="68">
        <f t="shared" si="1"/>
        <v>81.933521679999998</v>
      </c>
    </row>
    <row r="30" spans="1:10" x14ac:dyDescent="0.2">
      <c r="A30" s="8" t="s">
        <v>160</v>
      </c>
      <c r="B30" s="57">
        <v>7.3840000000000003</v>
      </c>
      <c r="C30" s="57">
        <v>7.3040000000000003</v>
      </c>
      <c r="D30" s="57">
        <v>4.8780000000000001</v>
      </c>
      <c r="E30" s="57">
        <v>-0.09</v>
      </c>
      <c r="F30" s="57">
        <v>0</v>
      </c>
      <c r="G30" s="57">
        <v>0</v>
      </c>
    </row>
    <row r="31" spans="1:10" ht="13.5" thickBot="1" x14ac:dyDescent="0.25">
      <c r="A31" s="6" t="s">
        <v>144</v>
      </c>
      <c r="B31" s="69">
        <f>SUM(B29:B30)</f>
        <v>99.891762090000014</v>
      </c>
      <c r="C31" s="69">
        <f t="shared" ref="C31:G31" si="2">SUM(C29:C30)</f>
        <v>98.09721930000002</v>
      </c>
      <c r="D31" s="69">
        <f t="shared" si="2"/>
        <v>61.353999999999985</v>
      </c>
      <c r="E31" s="69">
        <f t="shared" si="2"/>
        <v>67.480010980000003</v>
      </c>
      <c r="F31" s="69">
        <f t="shared" si="2"/>
        <v>65.865999999999971</v>
      </c>
      <c r="G31" s="69">
        <f t="shared" si="2"/>
        <v>81.933521679999998</v>
      </c>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306DA6-5107-4347-8D29-EA6172D36F6E}">
  <sheetPr>
    <pageSetUpPr fitToPage="1"/>
  </sheetPr>
  <dimension ref="A1:L45"/>
  <sheetViews>
    <sheetView showGridLines="0" zoomScaleNormal="100" workbookViewId="0">
      <selection activeCell="O5" sqref="O5"/>
    </sheetView>
  </sheetViews>
  <sheetFormatPr defaultRowHeight="12.75" x14ac:dyDescent="0.2"/>
  <cols>
    <col min="1" max="1" width="60.5703125" style="7" bestFit="1" customWidth="1"/>
    <col min="2" max="7" width="9.140625" style="7"/>
    <col min="8" max="8" width="2.140625" style="7" customWidth="1"/>
    <col min="9" max="12" width="10.85546875"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109</v>
      </c>
      <c r="B3" s="5"/>
      <c r="C3" s="5"/>
      <c r="D3" s="5"/>
      <c r="E3" s="5"/>
      <c r="F3" s="5"/>
      <c r="G3" s="5"/>
      <c r="H3" s="5"/>
      <c r="I3" s="5"/>
      <c r="J3" s="5"/>
      <c r="K3" s="5"/>
      <c r="L3" s="5"/>
    </row>
    <row r="4" spans="1:12" x14ac:dyDescent="0.2">
      <c r="A4" s="110" t="s">
        <v>227</v>
      </c>
    </row>
    <row r="5" spans="1:12" x14ac:dyDescent="0.2">
      <c r="B5" s="9" t="s">
        <v>49</v>
      </c>
      <c r="C5" s="9" t="s">
        <v>50</v>
      </c>
      <c r="D5" s="9" t="s">
        <v>51</v>
      </c>
      <c r="E5" s="9" t="s">
        <v>52</v>
      </c>
      <c r="F5" s="9" t="s">
        <v>53</v>
      </c>
      <c r="G5" s="9" t="s">
        <v>308</v>
      </c>
      <c r="I5" s="16"/>
      <c r="J5" s="16"/>
      <c r="K5" s="19"/>
      <c r="L5" s="16"/>
    </row>
    <row r="6" spans="1:12" ht="13.5" thickBot="1" x14ac:dyDescent="0.25">
      <c r="B6" s="10" t="s">
        <v>54</v>
      </c>
      <c r="C6" s="10" t="s">
        <v>54</v>
      </c>
      <c r="D6" s="10" t="s">
        <v>54</v>
      </c>
      <c r="E6" s="10" t="s">
        <v>54</v>
      </c>
      <c r="F6" s="10" t="s">
        <v>54</v>
      </c>
      <c r="G6" s="10" t="s">
        <v>54</v>
      </c>
      <c r="I6" s="15"/>
      <c r="J6" s="15"/>
      <c r="K6" s="19"/>
      <c r="L6" s="15"/>
    </row>
    <row r="7" spans="1:12" x14ac:dyDescent="0.2">
      <c r="A7" s="6" t="s">
        <v>161</v>
      </c>
    </row>
    <row r="8" spans="1:12" x14ac:dyDescent="0.2">
      <c r="A8" s="8" t="s">
        <v>162</v>
      </c>
      <c r="B8" s="49">
        <v>112.846</v>
      </c>
      <c r="C8" s="49">
        <v>91.686999999999998</v>
      </c>
      <c r="D8" s="49">
        <v>65.269000000000005</v>
      </c>
      <c r="E8" s="49">
        <v>370.99</v>
      </c>
      <c r="F8" s="49">
        <v>895.96</v>
      </c>
      <c r="G8" s="49">
        <v>666.1</v>
      </c>
    </row>
    <row r="9" spans="1:12" x14ac:dyDescent="0.2">
      <c r="A9" s="8" t="s">
        <v>237</v>
      </c>
      <c r="B9" s="49">
        <v>0</v>
      </c>
      <c r="C9" s="49">
        <v>0</v>
      </c>
      <c r="D9" s="49">
        <v>0</v>
      </c>
      <c r="E9" s="49">
        <v>0</v>
      </c>
      <c r="F9" s="49">
        <v>100</v>
      </c>
      <c r="G9" s="49">
        <v>0</v>
      </c>
    </row>
    <row r="10" spans="1:12" x14ac:dyDescent="0.2">
      <c r="A10" s="8" t="s">
        <v>163</v>
      </c>
      <c r="B10" s="49">
        <v>291.37299999999999</v>
      </c>
      <c r="C10" s="49">
        <v>289.60599999999999</v>
      </c>
      <c r="D10" s="49">
        <v>342.41199999999998</v>
      </c>
      <c r="E10" s="49">
        <v>547.37400000000002</v>
      </c>
      <c r="F10" s="49">
        <v>603.24400000000003</v>
      </c>
      <c r="G10" s="49">
        <v>625</v>
      </c>
    </row>
    <row r="11" spans="1:12" x14ac:dyDescent="0.2">
      <c r="A11" s="8" t="s">
        <v>164</v>
      </c>
      <c r="B11" s="49">
        <v>800</v>
      </c>
      <c r="C11" s="49">
        <v>800</v>
      </c>
      <c r="D11" s="49">
        <v>800</v>
      </c>
      <c r="E11" s="49">
        <v>0</v>
      </c>
      <c r="F11" s="49">
        <v>0</v>
      </c>
      <c r="G11" s="49">
        <v>0</v>
      </c>
    </row>
    <row r="12" spans="1:12" x14ac:dyDescent="0.2">
      <c r="A12" s="8" t="s">
        <v>165</v>
      </c>
      <c r="B12" s="49">
        <v>54.914999999999999</v>
      </c>
      <c r="C12" s="49">
        <v>56.719177000000002</v>
      </c>
      <c r="D12" s="49">
        <v>90.921177</v>
      </c>
      <c r="E12" s="49">
        <v>147.46117699999999</v>
      </c>
      <c r="F12" s="49">
        <v>18.700177</v>
      </c>
      <c r="G12" s="49">
        <v>274.7</v>
      </c>
    </row>
    <row r="13" spans="1:12" x14ac:dyDescent="0.2">
      <c r="A13" s="8" t="s">
        <v>166</v>
      </c>
      <c r="B13" s="49">
        <v>0</v>
      </c>
      <c r="C13" s="49">
        <v>3.8969999999999998</v>
      </c>
      <c r="D13" s="49">
        <v>47.749000000000002</v>
      </c>
      <c r="E13" s="49">
        <v>23.574000000000002</v>
      </c>
      <c r="F13" s="49">
        <v>5.6929999999999996</v>
      </c>
      <c r="G13" s="49">
        <v>1.8</v>
      </c>
    </row>
    <row r="14" spans="1:12" x14ac:dyDescent="0.2">
      <c r="A14" s="8" t="s">
        <v>167</v>
      </c>
      <c r="B14" s="49">
        <v>15.612</v>
      </c>
      <c r="C14" s="49">
        <v>15.307</v>
      </c>
      <c r="D14" s="49">
        <v>11.039</v>
      </c>
      <c r="E14" s="49">
        <v>16.265000000000001</v>
      </c>
      <c r="F14" s="49">
        <v>12</v>
      </c>
      <c r="G14" s="49">
        <v>20</v>
      </c>
    </row>
    <row r="15" spans="1:12" x14ac:dyDescent="0.2">
      <c r="A15" s="8" t="s">
        <v>168</v>
      </c>
      <c r="B15" s="49">
        <v>1.4219999999999999</v>
      </c>
      <c r="C15" s="49">
        <v>1.1819999999999999</v>
      </c>
      <c r="D15" s="49">
        <v>1.171</v>
      </c>
      <c r="E15" s="49">
        <v>0.99399999999999999</v>
      </c>
      <c r="F15" s="49">
        <v>0.97699999999999998</v>
      </c>
      <c r="G15" s="49">
        <v>0.8</v>
      </c>
    </row>
    <row r="16" spans="1:12" x14ac:dyDescent="0.2">
      <c r="A16" s="8" t="s">
        <v>320</v>
      </c>
      <c r="B16" s="49">
        <v>0</v>
      </c>
      <c r="C16" s="49">
        <v>0</v>
      </c>
      <c r="D16" s="49">
        <v>0</v>
      </c>
      <c r="E16" s="49">
        <v>0</v>
      </c>
      <c r="F16" s="49">
        <v>0</v>
      </c>
      <c r="G16" s="49">
        <v>17.2</v>
      </c>
    </row>
    <row r="17" spans="1:7" x14ac:dyDescent="0.2">
      <c r="A17" s="8" t="s">
        <v>169</v>
      </c>
      <c r="B17" s="49">
        <v>24.536999999999999</v>
      </c>
      <c r="C17" s="49">
        <v>21.509</v>
      </c>
      <c r="D17" s="49">
        <v>16.398</v>
      </c>
      <c r="E17" s="49">
        <v>12.946</v>
      </c>
      <c r="F17" s="49">
        <v>12.144</v>
      </c>
      <c r="G17" s="49">
        <v>37.6</v>
      </c>
    </row>
    <row r="18" spans="1:7" x14ac:dyDescent="0.2">
      <c r="A18" s="8" t="s">
        <v>170</v>
      </c>
      <c r="B18" s="49">
        <v>39.286000000000001</v>
      </c>
      <c r="C18" s="49">
        <v>36.01</v>
      </c>
      <c r="D18" s="49">
        <v>115.9</v>
      </c>
      <c r="E18" s="49">
        <v>134.44300000000001</v>
      </c>
      <c r="F18" s="49">
        <v>124.03</v>
      </c>
      <c r="G18" s="49">
        <v>145.80000000000001</v>
      </c>
    </row>
    <row r="19" spans="1:7" x14ac:dyDescent="0.2">
      <c r="A19" s="8" t="s">
        <v>171</v>
      </c>
      <c r="B19" s="49">
        <v>0</v>
      </c>
      <c r="C19" s="49">
        <v>2.7172355854751076</v>
      </c>
      <c r="D19" s="49">
        <v>0</v>
      </c>
      <c r="E19" s="49">
        <v>0</v>
      </c>
      <c r="F19" s="49">
        <v>28.68</v>
      </c>
      <c r="G19" s="49">
        <v>142.80000000000001</v>
      </c>
    </row>
    <row r="20" spans="1:7" x14ac:dyDescent="0.2">
      <c r="A20" s="8" t="s">
        <v>172</v>
      </c>
      <c r="B20" s="49">
        <v>392.28800000000001</v>
      </c>
      <c r="C20" s="49">
        <v>364.70699999999999</v>
      </c>
      <c r="D20" s="49">
        <v>352.18700000000001</v>
      </c>
      <c r="E20" s="49">
        <v>525.05399999999997</v>
      </c>
      <c r="F20" s="49">
        <v>498.625</v>
      </c>
      <c r="G20" s="49">
        <v>505.5</v>
      </c>
    </row>
    <row r="21" spans="1:7" x14ac:dyDescent="0.2">
      <c r="A21" s="8" t="s">
        <v>173</v>
      </c>
      <c r="B21" s="49">
        <v>946.32299999999998</v>
      </c>
      <c r="C21" s="49">
        <v>936.89099999999996</v>
      </c>
      <c r="D21" s="49">
        <v>937.31600000000003</v>
      </c>
      <c r="E21" s="49">
        <v>1465.404</v>
      </c>
      <c r="F21" s="49">
        <v>1506.2650000000001</v>
      </c>
      <c r="G21" s="49">
        <v>2137.9</v>
      </c>
    </row>
    <row r="22" spans="1:7" x14ac:dyDescent="0.2">
      <c r="B22" s="70">
        <f>SUM(B8:B21)</f>
        <v>2678.6020000000003</v>
      </c>
      <c r="C22" s="70">
        <f t="shared" ref="C22:G22" si="0">SUM(C8:C21)</f>
        <v>2620.2324125854752</v>
      </c>
      <c r="D22" s="70">
        <f t="shared" si="0"/>
        <v>2780.362177</v>
      </c>
      <c r="E22" s="70">
        <f t="shared" si="0"/>
        <v>3244.505177</v>
      </c>
      <c r="F22" s="70">
        <f t="shared" si="0"/>
        <v>3806.3181770000001</v>
      </c>
      <c r="G22" s="70">
        <f t="shared" si="0"/>
        <v>4575.2</v>
      </c>
    </row>
    <row r="23" spans="1:7" x14ac:dyDescent="0.2">
      <c r="A23" s="8" t="s">
        <v>174</v>
      </c>
      <c r="B23" s="49">
        <v>0</v>
      </c>
      <c r="C23" s="49">
        <v>52.473999999999997</v>
      </c>
      <c r="D23" s="49">
        <v>0</v>
      </c>
      <c r="E23" s="49">
        <v>0</v>
      </c>
      <c r="F23" s="49">
        <v>0</v>
      </c>
      <c r="G23" s="49">
        <v>0</v>
      </c>
    </row>
    <row r="24" spans="1:7" ht="13.5" thickBot="1" x14ac:dyDescent="0.25">
      <c r="A24" s="6" t="s">
        <v>175</v>
      </c>
      <c r="B24" s="71">
        <f>SUM(B22:B23)</f>
        <v>2678.6020000000003</v>
      </c>
      <c r="C24" s="71">
        <f t="shared" ref="C24:G24" si="1">SUM(C22:C23)</f>
        <v>2672.7064125854754</v>
      </c>
      <c r="D24" s="71">
        <f t="shared" si="1"/>
        <v>2780.362177</v>
      </c>
      <c r="E24" s="71">
        <f t="shared" si="1"/>
        <v>3244.505177</v>
      </c>
      <c r="F24" s="71">
        <f t="shared" si="1"/>
        <v>3806.3181770000001</v>
      </c>
      <c r="G24" s="71">
        <f t="shared" si="1"/>
        <v>4575.2</v>
      </c>
    </row>
    <row r="25" spans="1:7" x14ac:dyDescent="0.2">
      <c r="A25" s="6" t="s">
        <v>176</v>
      </c>
      <c r="B25" s="49"/>
      <c r="C25" s="49"/>
      <c r="D25" s="49"/>
      <c r="E25" s="49"/>
      <c r="F25" s="49"/>
      <c r="G25" s="49"/>
    </row>
    <row r="26" spans="1:7" x14ac:dyDescent="0.2">
      <c r="A26" s="8" t="s">
        <v>177</v>
      </c>
      <c r="B26" s="49">
        <v>73.198999999999998</v>
      </c>
      <c r="C26" s="49">
        <v>86.36</v>
      </c>
      <c r="D26" s="49">
        <v>75.935000000000002</v>
      </c>
      <c r="E26" s="49">
        <v>118.818</v>
      </c>
      <c r="F26" s="49">
        <v>115.14400000000001</v>
      </c>
      <c r="G26" s="49">
        <v>232.9</v>
      </c>
    </row>
    <row r="27" spans="1:7" x14ac:dyDescent="0.2">
      <c r="A27" s="8" t="s">
        <v>178</v>
      </c>
      <c r="B27" s="49">
        <v>3.0259999999999998</v>
      </c>
      <c r="C27" s="49">
        <v>15.347</v>
      </c>
      <c r="D27" s="49">
        <v>32.423000000000002</v>
      </c>
      <c r="E27" s="49">
        <v>54.765000000000001</v>
      </c>
      <c r="F27" s="49">
        <v>95.462999999999994</v>
      </c>
      <c r="G27" s="49">
        <v>174.3</v>
      </c>
    </row>
    <row r="28" spans="1:7" x14ac:dyDescent="0.2">
      <c r="A28" s="8" t="s">
        <v>319</v>
      </c>
      <c r="B28" s="49">
        <v>416.7</v>
      </c>
      <c r="C28" s="49">
        <v>426.50299999999999</v>
      </c>
      <c r="D28" s="49">
        <v>447.47300000000001</v>
      </c>
      <c r="E28" s="49">
        <v>572.25199999999995</v>
      </c>
      <c r="F28" s="49">
        <v>102.626</v>
      </c>
      <c r="G28" s="49">
        <v>773.5</v>
      </c>
    </row>
    <row r="29" spans="1:7" x14ac:dyDescent="0.2">
      <c r="A29" s="8" t="s">
        <v>238</v>
      </c>
      <c r="B29" s="49">
        <v>11.36</v>
      </c>
      <c r="C29" s="49">
        <v>0</v>
      </c>
      <c r="D29" s="49">
        <v>0</v>
      </c>
      <c r="E29" s="49">
        <v>0</v>
      </c>
      <c r="F29" s="49">
        <v>0</v>
      </c>
      <c r="G29" s="49">
        <v>0</v>
      </c>
    </row>
    <row r="30" spans="1:7" x14ac:dyDescent="0.2">
      <c r="A30" s="8" t="s">
        <v>179</v>
      </c>
      <c r="B30" s="49">
        <v>231.69399999999999</v>
      </c>
      <c r="C30" s="49">
        <v>453.33199999999999</v>
      </c>
      <c r="D30" s="49">
        <v>487.38600000000002</v>
      </c>
      <c r="E30" s="49">
        <v>733.13800000000003</v>
      </c>
      <c r="F30" s="49">
        <v>729.12800000000004</v>
      </c>
      <c r="G30" s="49">
        <v>901.5</v>
      </c>
    </row>
    <row r="31" spans="1:7" x14ac:dyDescent="0.2">
      <c r="A31" s="8" t="s">
        <v>180</v>
      </c>
      <c r="B31" s="49">
        <v>80.543000000000006</v>
      </c>
      <c r="C31" s="49">
        <v>0</v>
      </c>
      <c r="D31" s="49">
        <v>8.1829999999999998</v>
      </c>
      <c r="E31" s="49">
        <v>27.001000000000001</v>
      </c>
      <c r="F31" s="49">
        <v>0</v>
      </c>
      <c r="G31" s="49">
        <v>0</v>
      </c>
    </row>
    <row r="32" spans="1:7" x14ac:dyDescent="0.2">
      <c r="A32" s="8" t="s">
        <v>181</v>
      </c>
      <c r="B32" s="49">
        <v>1.3089999999999999</v>
      </c>
      <c r="C32" s="49">
        <v>1.121</v>
      </c>
      <c r="D32" s="49">
        <v>1.121</v>
      </c>
      <c r="E32" s="49">
        <v>0.93100000000000005</v>
      </c>
      <c r="F32" s="49">
        <v>0.93100000000000005</v>
      </c>
      <c r="G32" s="49">
        <v>0.9</v>
      </c>
    </row>
    <row r="33" spans="1:7" x14ac:dyDescent="0.2">
      <c r="A33" s="8" t="s">
        <v>182</v>
      </c>
      <c r="B33" s="49">
        <v>5.8929999999999998</v>
      </c>
      <c r="C33" s="49">
        <v>5.7519999999999998</v>
      </c>
      <c r="D33" s="49">
        <v>0</v>
      </c>
      <c r="E33" s="49">
        <v>0</v>
      </c>
      <c r="F33" s="49">
        <v>0</v>
      </c>
      <c r="G33" s="49">
        <v>0</v>
      </c>
    </row>
    <row r="34" spans="1:7" x14ac:dyDescent="0.2">
      <c r="B34" s="70">
        <f t="shared" ref="B34:G34" si="2">SUM(B26:B33)</f>
        <v>823.72399999999993</v>
      </c>
      <c r="C34" s="70">
        <f t="shared" si="2"/>
        <v>988.41499999999996</v>
      </c>
      <c r="D34" s="70">
        <f t="shared" si="2"/>
        <v>1052.5210000000002</v>
      </c>
      <c r="E34" s="70">
        <f t="shared" si="2"/>
        <v>1506.905</v>
      </c>
      <c r="F34" s="70">
        <f t="shared" si="2"/>
        <v>1043.2920000000001</v>
      </c>
      <c r="G34" s="70">
        <f t="shared" si="2"/>
        <v>2083.1</v>
      </c>
    </row>
    <row r="35" spans="1:7" x14ac:dyDescent="0.2">
      <c r="A35" s="8" t="s">
        <v>183</v>
      </c>
      <c r="B35" s="49">
        <v>0</v>
      </c>
      <c r="C35" s="49">
        <v>27.434000000000001</v>
      </c>
      <c r="D35" s="49">
        <v>0</v>
      </c>
      <c r="E35" s="49">
        <v>0</v>
      </c>
      <c r="F35" s="49">
        <v>0</v>
      </c>
      <c r="G35" s="49">
        <v>0</v>
      </c>
    </row>
    <row r="36" spans="1:7" ht="13.5" thickBot="1" x14ac:dyDescent="0.25">
      <c r="A36" s="6" t="s">
        <v>184</v>
      </c>
      <c r="B36" s="71">
        <f>SUM(B34:B35)</f>
        <v>823.72399999999993</v>
      </c>
      <c r="C36" s="71">
        <f t="shared" ref="C36:F36" si="3">SUM(C34:C35)</f>
        <v>1015.8489999999999</v>
      </c>
      <c r="D36" s="71">
        <f t="shared" si="3"/>
        <v>1052.5210000000002</v>
      </c>
      <c r="E36" s="71">
        <f t="shared" si="3"/>
        <v>1506.905</v>
      </c>
      <c r="F36" s="71">
        <f t="shared" si="3"/>
        <v>1043.2920000000001</v>
      </c>
      <c r="G36" s="71">
        <f t="shared" ref="G36" si="4">SUM(G34:G35)</f>
        <v>2083.1</v>
      </c>
    </row>
    <row r="37" spans="1:7" ht="13.5" thickBot="1" x14ac:dyDescent="0.25">
      <c r="A37" s="6" t="s">
        <v>185</v>
      </c>
      <c r="B37" s="72">
        <f t="shared" ref="B37:G37" si="5">B24-B36</f>
        <v>1854.8780000000004</v>
      </c>
      <c r="C37" s="72">
        <f t="shared" si="5"/>
        <v>1656.8574125854755</v>
      </c>
      <c r="D37" s="72">
        <f t="shared" si="5"/>
        <v>1727.8411769999998</v>
      </c>
      <c r="E37" s="72">
        <f t="shared" si="5"/>
        <v>1737.600177</v>
      </c>
      <c r="F37" s="72">
        <f t="shared" si="5"/>
        <v>2763.0261769999997</v>
      </c>
      <c r="G37" s="72">
        <f t="shared" si="5"/>
        <v>2492.1</v>
      </c>
    </row>
    <row r="38" spans="1:7" ht="13.5" thickTop="1" x14ac:dyDescent="0.2">
      <c r="A38" s="6" t="s">
        <v>186</v>
      </c>
      <c r="B38" s="49"/>
      <c r="C38" s="49"/>
      <c r="D38" s="49"/>
      <c r="E38" s="49"/>
      <c r="F38" s="49"/>
      <c r="G38" s="49"/>
    </row>
    <row r="39" spans="1:7" x14ac:dyDescent="0.2">
      <c r="A39" s="8" t="s">
        <v>187</v>
      </c>
      <c r="B39" s="49">
        <v>1966.925</v>
      </c>
      <c r="C39" s="49">
        <v>1963.1089999999999</v>
      </c>
      <c r="D39" s="49">
        <v>1965.377</v>
      </c>
      <c r="E39" s="49">
        <v>1965.8239590799999</v>
      </c>
      <c r="F39" s="49">
        <v>2996.0010000000002</v>
      </c>
      <c r="G39" s="49">
        <v>2996</v>
      </c>
    </row>
    <row r="40" spans="1:7" x14ac:dyDescent="0.2">
      <c r="A40" s="8" t="s">
        <v>188</v>
      </c>
      <c r="B40" s="49">
        <v>23.306000000000001</v>
      </c>
      <c r="C40" s="49">
        <v>25.225000000000001</v>
      </c>
      <c r="D40" s="49">
        <v>52.682000000000002</v>
      </c>
      <c r="E40" s="49">
        <v>91.272000000000006</v>
      </c>
      <c r="F40" s="49">
        <v>2.6309999999999998</v>
      </c>
      <c r="G40" s="49">
        <v>3.8</v>
      </c>
    </row>
    <row r="41" spans="1:7" x14ac:dyDescent="0.2">
      <c r="A41" s="8" t="s">
        <v>189</v>
      </c>
      <c r="B41" s="49">
        <v>-142.93199999999999</v>
      </c>
      <c r="C41" s="49">
        <v>-339.14026008999997</v>
      </c>
      <c r="D41" s="49">
        <v>-289.62200000000001</v>
      </c>
      <c r="E41" s="49">
        <v>-319.26900000000001</v>
      </c>
      <c r="F41" s="49">
        <v>-235.35599999999999</v>
      </c>
      <c r="G41" s="49">
        <v>-507.5</v>
      </c>
    </row>
    <row r="42" spans="1:7" x14ac:dyDescent="0.2">
      <c r="A42" s="6" t="s">
        <v>190</v>
      </c>
      <c r="B42" s="73">
        <f>SUM(B39:B41)</f>
        <v>1847.299</v>
      </c>
      <c r="C42" s="73">
        <f t="shared" ref="C42:G42" si="6">SUM(C39:C41)</f>
        <v>1649.1937399099997</v>
      </c>
      <c r="D42" s="73">
        <f t="shared" si="6"/>
        <v>1728.4369999999999</v>
      </c>
      <c r="E42" s="73">
        <f t="shared" si="6"/>
        <v>1737.8269590799998</v>
      </c>
      <c r="F42" s="73">
        <f t="shared" si="6"/>
        <v>2763.2759999999998</v>
      </c>
      <c r="G42" s="73">
        <f t="shared" si="6"/>
        <v>2492.3000000000002</v>
      </c>
    </row>
    <row r="43" spans="1:7" x14ac:dyDescent="0.2">
      <c r="A43" s="8" t="s">
        <v>191</v>
      </c>
      <c r="B43" s="49">
        <v>7.5789999999999997</v>
      </c>
      <c r="C43" s="49">
        <v>7.6630000000000003</v>
      </c>
      <c r="D43" s="49">
        <v>-0.59599999999999997</v>
      </c>
      <c r="E43" s="49">
        <v>-0.22900000000000001</v>
      </c>
      <c r="F43" s="49">
        <v>-0.25</v>
      </c>
      <c r="G43" s="49">
        <v>-0.2</v>
      </c>
    </row>
    <row r="44" spans="1:7" ht="13.5" thickBot="1" x14ac:dyDescent="0.25">
      <c r="A44" s="6" t="s">
        <v>192</v>
      </c>
      <c r="B44" s="74">
        <f>SUM(B42:B43)</f>
        <v>1854.8779999999999</v>
      </c>
      <c r="C44" s="74">
        <f t="shared" ref="C44:G44" si="7">SUM(C42:C43)</f>
        <v>1656.8567399099998</v>
      </c>
      <c r="D44" s="74">
        <f t="shared" si="7"/>
        <v>1727.8409999999999</v>
      </c>
      <c r="E44" s="74">
        <f t="shared" si="7"/>
        <v>1737.5979590799998</v>
      </c>
      <c r="F44" s="74">
        <f t="shared" si="7"/>
        <v>2763.0259999999998</v>
      </c>
      <c r="G44" s="74">
        <f t="shared" si="7"/>
        <v>2492.1000000000004</v>
      </c>
    </row>
    <row r="45" spans="1:7" ht="13.5" thickTop="1" x14ac:dyDescent="0.2"/>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16FE4-2DB1-418C-A19B-FF5E98AD2E2E}">
  <sheetPr>
    <pageSetUpPr fitToPage="1"/>
  </sheetPr>
  <dimension ref="A1:L50"/>
  <sheetViews>
    <sheetView showGridLines="0" zoomScaleNormal="100" workbookViewId="0">
      <selection activeCell="O5" sqref="O5"/>
    </sheetView>
  </sheetViews>
  <sheetFormatPr defaultRowHeight="12.75" x14ac:dyDescent="0.2"/>
  <cols>
    <col min="1" max="1" width="67.140625" style="7" bestFit="1" customWidth="1"/>
    <col min="2" max="4" width="9.140625" style="7"/>
    <col min="5" max="5" width="9.140625" style="7" customWidth="1"/>
    <col min="6" max="7" width="9.140625" style="7"/>
    <col min="8" max="8" width="2.140625" style="7" customWidth="1"/>
    <col min="9" max="12" width="11.140625"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108</v>
      </c>
      <c r="B3" s="5"/>
      <c r="C3" s="5"/>
      <c r="D3" s="5"/>
      <c r="E3" s="5"/>
      <c r="F3" s="5"/>
      <c r="G3" s="5"/>
      <c r="H3" s="5"/>
      <c r="I3" s="5"/>
      <c r="J3" s="5"/>
      <c r="K3" s="5"/>
      <c r="L3" s="5"/>
    </row>
    <row r="4" spans="1:12" x14ac:dyDescent="0.2">
      <c r="A4" s="111" t="s">
        <v>228</v>
      </c>
    </row>
    <row r="5" spans="1:12" x14ac:dyDescent="0.2">
      <c r="B5" s="9" t="s">
        <v>49</v>
      </c>
      <c r="C5" s="9" t="s">
        <v>50</v>
      </c>
      <c r="D5" s="9" t="s">
        <v>51</v>
      </c>
      <c r="E5" s="9" t="s">
        <v>52</v>
      </c>
      <c r="F5" s="9" t="s">
        <v>53</v>
      </c>
      <c r="G5" s="9" t="s">
        <v>308</v>
      </c>
      <c r="I5" s="11"/>
      <c r="J5" s="11"/>
      <c r="K5" s="6"/>
      <c r="L5" s="11"/>
    </row>
    <row r="6" spans="1:12" ht="13.5" thickBot="1" x14ac:dyDescent="0.25">
      <c r="B6" s="10" t="s">
        <v>54</v>
      </c>
      <c r="C6" s="10" t="s">
        <v>54</v>
      </c>
      <c r="D6" s="10" t="s">
        <v>54</v>
      </c>
      <c r="E6" s="10" t="s">
        <v>54</v>
      </c>
      <c r="F6" s="10" t="s">
        <v>54</v>
      </c>
      <c r="G6" s="10" t="s">
        <v>54</v>
      </c>
      <c r="I6" s="15"/>
      <c r="J6" s="15"/>
      <c r="K6" s="19"/>
      <c r="L6" s="15"/>
    </row>
    <row r="7" spans="1:12" x14ac:dyDescent="0.2">
      <c r="A7" s="6" t="s">
        <v>110</v>
      </c>
    </row>
    <row r="8" spans="1:12" x14ac:dyDescent="0.2">
      <c r="A8" s="8" t="s">
        <v>112</v>
      </c>
      <c r="B8" s="49">
        <v>561.91600000000005</v>
      </c>
      <c r="C8" s="49">
        <v>647.79999999999995</v>
      </c>
      <c r="D8" s="49">
        <v>600.04300000000001</v>
      </c>
      <c r="E8" s="49">
        <v>722.65899999999999</v>
      </c>
      <c r="F8" s="49">
        <v>678.96400000000006</v>
      </c>
      <c r="G8" s="49">
        <v>727.13599999999985</v>
      </c>
    </row>
    <row r="9" spans="1:12" x14ac:dyDescent="0.2">
      <c r="A9" s="8" t="s">
        <v>321</v>
      </c>
      <c r="B9" s="49">
        <v>0</v>
      </c>
      <c r="C9" s="49">
        <v>0</v>
      </c>
      <c r="D9" s="49">
        <v>0</v>
      </c>
      <c r="E9" s="49">
        <v>0</v>
      </c>
      <c r="F9" s="49">
        <v>0</v>
      </c>
      <c r="G9" s="49">
        <v>80</v>
      </c>
    </row>
    <row r="10" spans="1:12" x14ac:dyDescent="0.2">
      <c r="A10" s="8" t="s">
        <v>111</v>
      </c>
      <c r="B10" s="49">
        <v>-442.39800000000002</v>
      </c>
      <c r="C10" s="49">
        <v>-538.78200000000004</v>
      </c>
      <c r="D10" s="49">
        <v>-529.99900000000002</v>
      </c>
      <c r="E10" s="49">
        <v>-594.16899999999998</v>
      </c>
      <c r="F10" s="94">
        <v>-589.12599999999998</v>
      </c>
      <c r="G10" s="94">
        <v>-550.77400000000011</v>
      </c>
    </row>
    <row r="11" spans="1:12" x14ac:dyDescent="0.2">
      <c r="A11" s="8" t="s">
        <v>317</v>
      </c>
      <c r="B11" s="49">
        <v>-8.6639999999999997</v>
      </c>
      <c r="C11" s="49">
        <v>-9.8209999999999997</v>
      </c>
      <c r="D11" s="49">
        <v>-7.3689999999999998</v>
      </c>
      <c r="E11" s="49">
        <v>-19.228999999999999</v>
      </c>
      <c r="F11" s="49">
        <v>-27.908000000000001</v>
      </c>
      <c r="G11" s="49">
        <v>-17.991999999999997</v>
      </c>
    </row>
    <row r="12" spans="1:12" x14ac:dyDescent="0.2">
      <c r="A12" s="8" t="s">
        <v>113</v>
      </c>
      <c r="B12" s="49">
        <v>0.20599999999999999</v>
      </c>
      <c r="C12" s="49">
        <v>0.152</v>
      </c>
      <c r="D12" s="49">
        <v>0.11899999999999999</v>
      </c>
      <c r="E12" s="49">
        <v>0.23200000000000001</v>
      </c>
      <c r="F12" s="49">
        <v>0.128</v>
      </c>
      <c r="G12" s="49">
        <v>7.2000000000000008E-2</v>
      </c>
    </row>
    <row r="13" spans="1:12" x14ac:dyDescent="0.2">
      <c r="A13" s="8" t="s">
        <v>239</v>
      </c>
      <c r="B13" s="49">
        <v>-8.48</v>
      </c>
      <c r="C13" s="49">
        <v>-2.3780000000000001</v>
      </c>
      <c r="D13" s="49">
        <v>0.94299999999999995</v>
      </c>
      <c r="E13" s="49">
        <v>-3.2370000000000001</v>
      </c>
      <c r="F13" s="49">
        <v>0</v>
      </c>
      <c r="G13" s="49">
        <v>-21.5</v>
      </c>
    </row>
    <row r="14" spans="1:12" x14ac:dyDescent="0.2">
      <c r="A14" s="8" t="s">
        <v>114</v>
      </c>
      <c r="B14" s="49">
        <v>-3.8050000000000002</v>
      </c>
      <c r="C14" s="49">
        <v>-0.26600000000000001</v>
      </c>
      <c r="D14" s="49">
        <v>-9.5519999999999996</v>
      </c>
      <c r="E14" s="49">
        <v>-6.2649999999999997</v>
      </c>
      <c r="F14" s="49">
        <v>-23.616</v>
      </c>
      <c r="G14" s="49">
        <v>-79.483999999999995</v>
      </c>
    </row>
    <row r="15" spans="1:12" x14ac:dyDescent="0.2">
      <c r="A15" s="8" t="s">
        <v>115</v>
      </c>
      <c r="B15" s="49">
        <v>18.937000000000001</v>
      </c>
      <c r="C15" s="49">
        <v>48.972999999999999</v>
      </c>
      <c r="D15" s="49">
        <v>8.0660000000000007</v>
      </c>
      <c r="E15" s="49">
        <v>1.3149999999999999</v>
      </c>
      <c r="F15" s="49">
        <v>0</v>
      </c>
      <c r="G15" s="49">
        <v>0</v>
      </c>
    </row>
    <row r="16" spans="1:12" x14ac:dyDescent="0.2">
      <c r="A16" s="8" t="s">
        <v>116</v>
      </c>
      <c r="B16" s="49">
        <v>-54.255000000000003</v>
      </c>
      <c r="C16" s="49">
        <v>-57.014000000000003</v>
      </c>
      <c r="D16" s="49">
        <v>-38.734000000000002</v>
      </c>
      <c r="E16" s="49">
        <v>-3.9740000000000002</v>
      </c>
      <c r="F16" s="49">
        <v>-35.454999999999998</v>
      </c>
      <c r="G16" s="49">
        <v>-3.5450000000000017</v>
      </c>
    </row>
    <row r="17" spans="1:7" x14ac:dyDescent="0.2">
      <c r="A17" s="6" t="s">
        <v>117</v>
      </c>
      <c r="B17" s="73">
        <f t="shared" ref="B17:G17" si="0">SUM(B8:B16)</f>
        <v>63.457000000000015</v>
      </c>
      <c r="C17" s="73">
        <f t="shared" si="0"/>
        <v>88.663999999999902</v>
      </c>
      <c r="D17" s="73">
        <f t="shared" si="0"/>
        <v>23.516999999999982</v>
      </c>
      <c r="E17" s="73">
        <f t="shared" si="0"/>
        <v>97.332000000000008</v>
      </c>
      <c r="F17" s="73">
        <f t="shared" si="0"/>
        <v>2.98700000000008</v>
      </c>
      <c r="G17" s="73">
        <f t="shared" si="0"/>
        <v>133.91299999999973</v>
      </c>
    </row>
    <row r="18" spans="1:7" x14ac:dyDescent="0.2">
      <c r="A18" s="6" t="s">
        <v>118</v>
      </c>
      <c r="B18" s="49"/>
      <c r="C18" s="49"/>
      <c r="D18" s="49"/>
      <c r="E18" s="49"/>
      <c r="F18" s="49"/>
      <c r="G18" s="49"/>
    </row>
    <row r="19" spans="1:7" x14ac:dyDescent="0.2">
      <c r="A19" s="8" t="s">
        <v>11</v>
      </c>
      <c r="B19" s="49">
        <v>0.65800000000000003</v>
      </c>
      <c r="C19" s="49">
        <v>0.57999999999999996</v>
      </c>
      <c r="D19" s="49">
        <v>0.78800000000000003</v>
      </c>
      <c r="E19" s="49">
        <v>0.68500000000000005</v>
      </c>
      <c r="F19" s="49">
        <v>0.214</v>
      </c>
      <c r="G19" s="49">
        <v>0.18600000000000003</v>
      </c>
    </row>
    <row r="20" spans="1:7" x14ac:dyDescent="0.2">
      <c r="A20" s="8" t="s">
        <v>119</v>
      </c>
      <c r="B20" s="49">
        <v>5.2359999999999998</v>
      </c>
      <c r="C20" s="49">
        <v>4.2119999999999997</v>
      </c>
      <c r="D20" s="49">
        <v>1.1779999999999999</v>
      </c>
      <c r="E20" s="49">
        <v>3.1949999999999998</v>
      </c>
      <c r="F20" s="49">
        <v>1.736</v>
      </c>
      <c r="G20" s="49">
        <v>1.764</v>
      </c>
    </row>
    <row r="21" spans="1:7" x14ac:dyDescent="0.2">
      <c r="A21" s="8" t="s">
        <v>120</v>
      </c>
      <c r="B21" s="49">
        <v>-8.7059999999999995</v>
      </c>
      <c r="C21" s="49">
        <v>-7.6660000000000004</v>
      </c>
      <c r="D21" s="49">
        <v>-5.6269999999999998</v>
      </c>
      <c r="E21" s="49">
        <v>-4.4619999999999997</v>
      </c>
      <c r="F21" s="49">
        <v>-3.8220000000000001</v>
      </c>
      <c r="G21" s="49">
        <v>-3.5780000000000003</v>
      </c>
    </row>
    <row r="22" spans="1:7" x14ac:dyDescent="0.2">
      <c r="A22" s="8" t="s">
        <v>288</v>
      </c>
      <c r="B22" s="49">
        <v>-1.75</v>
      </c>
      <c r="C22" s="49">
        <v>0.28699999999999998</v>
      </c>
      <c r="D22" s="49">
        <v>-2.1</v>
      </c>
      <c r="E22" s="49">
        <v>86.614999999999995</v>
      </c>
      <c r="F22" s="49">
        <v>100.703</v>
      </c>
      <c r="G22" s="49">
        <v>1.4969999999999999</v>
      </c>
    </row>
    <row r="23" spans="1:7" x14ac:dyDescent="0.2">
      <c r="A23" s="8" t="s">
        <v>121</v>
      </c>
      <c r="B23" s="49">
        <v>-800</v>
      </c>
      <c r="C23" s="49">
        <v>0</v>
      </c>
      <c r="D23" s="49">
        <v>0</v>
      </c>
      <c r="E23" s="49">
        <v>800</v>
      </c>
      <c r="F23" s="49">
        <v>0</v>
      </c>
      <c r="G23" s="49">
        <v>0</v>
      </c>
    </row>
    <row r="24" spans="1:7" x14ac:dyDescent="0.2">
      <c r="A24" s="8" t="s">
        <v>240</v>
      </c>
      <c r="B24" s="49">
        <v>40.978000000000002</v>
      </c>
      <c r="C24" s="49">
        <v>0.27300000000000002</v>
      </c>
      <c r="D24" s="49">
        <v>90.024000000000001</v>
      </c>
      <c r="E24" s="49">
        <v>2.9830000000000001</v>
      </c>
      <c r="F24" s="49">
        <v>0</v>
      </c>
      <c r="G24" s="49">
        <v>0</v>
      </c>
    </row>
    <row r="25" spans="1:7" x14ac:dyDescent="0.2">
      <c r="A25" s="8" t="s">
        <v>122</v>
      </c>
      <c r="B25" s="49">
        <v>-5.8460000000000001</v>
      </c>
      <c r="C25" s="49">
        <v>-2.33</v>
      </c>
      <c r="D25" s="49">
        <v>0</v>
      </c>
      <c r="E25" s="49">
        <v>-678.76800000000003</v>
      </c>
      <c r="F25" s="49">
        <v>15.07</v>
      </c>
      <c r="G25" s="49">
        <v>-872.2700000000001</v>
      </c>
    </row>
    <row r="26" spans="1:7" x14ac:dyDescent="0.2">
      <c r="A26" s="8" t="s">
        <v>322</v>
      </c>
      <c r="B26" s="49">
        <v>407.44299999999998</v>
      </c>
      <c r="C26" s="49">
        <v>0</v>
      </c>
      <c r="D26" s="49">
        <v>0</v>
      </c>
      <c r="E26" s="49">
        <v>0</v>
      </c>
      <c r="F26" s="49">
        <v>-100</v>
      </c>
      <c r="G26" s="49">
        <v>128.69999999999999</v>
      </c>
    </row>
    <row r="27" spans="1:7" x14ac:dyDescent="0.2">
      <c r="A27" s="8" t="s">
        <v>123</v>
      </c>
      <c r="B27" s="49">
        <v>0</v>
      </c>
      <c r="C27" s="49">
        <v>0.35099999999999998</v>
      </c>
      <c r="D27" s="49">
        <v>0</v>
      </c>
      <c r="E27" s="49">
        <v>0</v>
      </c>
      <c r="F27" s="49">
        <v>0</v>
      </c>
      <c r="G27" s="49">
        <v>0</v>
      </c>
    </row>
    <row r="28" spans="1:7" x14ac:dyDescent="0.2">
      <c r="A28" s="8" t="s">
        <v>124</v>
      </c>
      <c r="B28" s="49">
        <v>0</v>
      </c>
      <c r="C28" s="49">
        <v>0</v>
      </c>
      <c r="D28" s="49">
        <v>0</v>
      </c>
      <c r="E28" s="49">
        <v>-30.175999999999998</v>
      </c>
      <c r="F28" s="49">
        <v>0</v>
      </c>
      <c r="G28" s="49">
        <v>0</v>
      </c>
    </row>
    <row r="29" spans="1:7" x14ac:dyDescent="0.2">
      <c r="A29" s="8" t="s">
        <v>125</v>
      </c>
      <c r="B29" s="49">
        <v>-22.709</v>
      </c>
      <c r="C29" s="49">
        <v>-3.49</v>
      </c>
      <c r="D29" s="49">
        <v>-3.2090000000000001</v>
      </c>
      <c r="E29" s="49">
        <v>-4.9859999999999998</v>
      </c>
      <c r="F29" s="49">
        <v>-3.0369999999999999</v>
      </c>
      <c r="G29" s="49">
        <v>-6.2630000000000008</v>
      </c>
    </row>
    <row r="30" spans="1:7" x14ac:dyDescent="0.2">
      <c r="A30" s="8" t="s">
        <v>126</v>
      </c>
      <c r="B30" s="49">
        <v>-3.1629999999999998</v>
      </c>
      <c r="C30" s="49">
        <v>-0.61199999999999999</v>
      </c>
      <c r="D30" s="49">
        <v>-5.359</v>
      </c>
      <c r="E30" s="49">
        <v>-7.7169999999999996</v>
      </c>
      <c r="F30" s="49">
        <v>-1.768</v>
      </c>
      <c r="G30" s="49">
        <v>-5.3319999999999999</v>
      </c>
    </row>
    <row r="31" spans="1:7" x14ac:dyDescent="0.2">
      <c r="A31" s="8" t="s">
        <v>127</v>
      </c>
      <c r="B31" s="49">
        <v>0</v>
      </c>
      <c r="C31" s="49">
        <v>4.7E-2</v>
      </c>
      <c r="D31" s="49">
        <v>7.298</v>
      </c>
      <c r="E31" s="49">
        <v>0</v>
      </c>
      <c r="F31" s="49">
        <v>0</v>
      </c>
      <c r="G31" s="49">
        <v>0</v>
      </c>
    </row>
    <row r="32" spans="1:7" x14ac:dyDescent="0.2">
      <c r="A32" s="6" t="s">
        <v>128</v>
      </c>
      <c r="B32" s="73">
        <f t="shared" ref="B32:G32" si="1">SUM(B19:B31)</f>
        <v>-387.85900000000009</v>
      </c>
      <c r="C32" s="73">
        <f t="shared" si="1"/>
        <v>-8.347999999999999</v>
      </c>
      <c r="D32" s="73">
        <f t="shared" si="1"/>
        <v>82.993000000000009</v>
      </c>
      <c r="E32" s="73">
        <f t="shared" si="1"/>
        <v>167.36899999999994</v>
      </c>
      <c r="F32" s="73">
        <f t="shared" si="1"/>
        <v>9.0960000000000107</v>
      </c>
      <c r="G32" s="73">
        <f t="shared" si="1"/>
        <v>-755.29600000000005</v>
      </c>
    </row>
    <row r="33" spans="1:7" x14ac:dyDescent="0.2">
      <c r="A33" s="6" t="s">
        <v>129</v>
      </c>
      <c r="B33" s="49"/>
      <c r="C33" s="49"/>
      <c r="D33" s="49"/>
      <c r="E33" s="49"/>
      <c r="F33" s="49"/>
      <c r="G33" s="49"/>
    </row>
    <row r="34" spans="1:7" x14ac:dyDescent="0.2">
      <c r="A34" s="8" t="s">
        <v>289</v>
      </c>
      <c r="B34" s="94">
        <v>610</v>
      </c>
      <c r="C34" s="94">
        <v>60</v>
      </c>
      <c r="D34" s="94">
        <v>0.03</v>
      </c>
      <c r="E34" s="94">
        <v>114.97</v>
      </c>
      <c r="F34" s="94">
        <v>2.5000000000000001E-2</v>
      </c>
      <c r="G34" s="49">
        <v>590.97500000000002</v>
      </c>
    </row>
    <row r="35" spans="1:7" x14ac:dyDescent="0.2">
      <c r="A35" s="8" t="s">
        <v>290</v>
      </c>
      <c r="B35" s="94">
        <v>-190.023</v>
      </c>
      <c r="C35" s="94">
        <v>-50.595999999999997</v>
      </c>
      <c r="D35" s="94">
        <v>-75</v>
      </c>
      <c r="E35" s="94">
        <v>-9.952</v>
      </c>
      <c r="F35" s="94">
        <v>-460</v>
      </c>
      <c r="G35" s="49">
        <v>-115</v>
      </c>
    </row>
    <row r="36" spans="1:7" x14ac:dyDescent="0.2">
      <c r="A36" s="8" t="s">
        <v>241</v>
      </c>
      <c r="B36" s="94">
        <v>0</v>
      </c>
      <c r="C36" s="94">
        <v>0</v>
      </c>
      <c r="D36" s="94">
        <v>0</v>
      </c>
      <c r="E36" s="94">
        <v>0</v>
      </c>
      <c r="F36" s="94">
        <v>1043.8710000000001</v>
      </c>
      <c r="G36" s="49">
        <v>2.8999999999996362E-2</v>
      </c>
    </row>
    <row r="37" spans="1:7" x14ac:dyDescent="0.2">
      <c r="A37" s="8" t="s">
        <v>242</v>
      </c>
      <c r="B37" s="94">
        <v>0</v>
      </c>
      <c r="C37" s="94">
        <v>0</v>
      </c>
      <c r="D37" s="94">
        <v>0</v>
      </c>
      <c r="E37" s="94">
        <v>0</v>
      </c>
      <c r="F37" s="94">
        <v>-20.472000000000001</v>
      </c>
      <c r="G37" s="49">
        <v>7.2000000000002728E-2</v>
      </c>
    </row>
    <row r="38" spans="1:7" x14ac:dyDescent="0.2">
      <c r="A38" s="8" t="s">
        <v>130</v>
      </c>
      <c r="B38" s="94">
        <v>-3.78</v>
      </c>
      <c r="C38" s="94">
        <v>-4.1340000000000003</v>
      </c>
      <c r="D38" s="94">
        <v>0</v>
      </c>
      <c r="E38" s="94">
        <v>0</v>
      </c>
      <c r="F38" s="94">
        <v>0</v>
      </c>
      <c r="G38" s="49">
        <v>0</v>
      </c>
    </row>
    <row r="39" spans="1:7" x14ac:dyDescent="0.2">
      <c r="A39" s="8" t="s">
        <v>243</v>
      </c>
      <c r="B39" s="94">
        <v>-1.2010000000000001</v>
      </c>
      <c r="C39" s="94">
        <v>0</v>
      </c>
      <c r="D39" s="94">
        <v>0</v>
      </c>
      <c r="E39" s="94">
        <v>0</v>
      </c>
      <c r="F39" s="94">
        <v>0</v>
      </c>
      <c r="G39" s="49">
        <v>0</v>
      </c>
    </row>
    <row r="40" spans="1:7" x14ac:dyDescent="0.2">
      <c r="A40" s="8" t="s">
        <v>323</v>
      </c>
      <c r="B40" s="94">
        <v>0</v>
      </c>
      <c r="C40" s="94">
        <v>0</v>
      </c>
      <c r="D40" s="94">
        <v>-6.4260000000000002</v>
      </c>
      <c r="E40" s="94">
        <v>-7.8979999999999997</v>
      </c>
      <c r="F40" s="94">
        <v>-10.25</v>
      </c>
      <c r="G40" s="49">
        <v>-11.45</v>
      </c>
    </row>
    <row r="41" spans="1:7" x14ac:dyDescent="0.2">
      <c r="A41" s="8" t="s">
        <v>131</v>
      </c>
      <c r="B41" s="94">
        <v>-94.715999999999994</v>
      </c>
      <c r="C41" s="94">
        <v>-89.338999999999999</v>
      </c>
      <c r="D41" s="94">
        <v>-66.489000000000004</v>
      </c>
      <c r="E41" s="94">
        <v>-56.024999999999999</v>
      </c>
      <c r="F41" s="94">
        <v>-40.283000000000001</v>
      </c>
      <c r="G41" s="49">
        <v>-74.716999999999999</v>
      </c>
    </row>
    <row r="42" spans="1:7" x14ac:dyDescent="0.2">
      <c r="A42" s="8" t="s">
        <v>132</v>
      </c>
      <c r="B42" s="94">
        <v>-4.5199999999999996</v>
      </c>
      <c r="C42" s="94">
        <v>-2.427</v>
      </c>
      <c r="D42" s="94">
        <v>-0.01</v>
      </c>
      <c r="E42" s="94">
        <v>-6.0000000000000001E-3</v>
      </c>
      <c r="F42" s="94">
        <v>-7.0000000000000001E-3</v>
      </c>
      <c r="G42" s="49">
        <v>7.0000000000000001E-3</v>
      </c>
    </row>
    <row r="43" spans="1:7" x14ac:dyDescent="0.2">
      <c r="A43" s="6" t="s">
        <v>133</v>
      </c>
      <c r="B43" s="73">
        <f>SUM(B34:B42)</f>
        <v>315.76</v>
      </c>
      <c r="C43" s="73">
        <f t="shared" ref="C43:F43" si="2">SUM(C34:C42)</f>
        <v>-86.495999999999995</v>
      </c>
      <c r="D43" s="73">
        <f t="shared" si="2"/>
        <v>-147.89499999999998</v>
      </c>
      <c r="E43" s="73">
        <f t="shared" si="2"/>
        <v>41.089000000000006</v>
      </c>
      <c r="F43" s="73">
        <f t="shared" si="2"/>
        <v>512.88400000000013</v>
      </c>
      <c r="G43" s="73">
        <f t="shared" ref="G43" si="3">SUM(G34:G42)</f>
        <v>389.91600000000005</v>
      </c>
    </row>
    <row r="44" spans="1:7" x14ac:dyDescent="0.2">
      <c r="A44" s="6" t="s">
        <v>134</v>
      </c>
      <c r="B44" s="95">
        <f t="shared" ref="B44:G44" si="4">SUM(B43,B32,B17)</f>
        <v>-8.6420000000000883</v>
      </c>
      <c r="C44" s="95">
        <f t="shared" si="4"/>
        <v>-6.1800000000000921</v>
      </c>
      <c r="D44" s="95">
        <f t="shared" si="4"/>
        <v>-41.384999999999991</v>
      </c>
      <c r="E44" s="95">
        <f t="shared" si="4"/>
        <v>305.78999999999996</v>
      </c>
      <c r="F44" s="95">
        <f t="shared" si="4"/>
        <v>524.96700000000021</v>
      </c>
      <c r="G44" s="95">
        <f t="shared" si="4"/>
        <v>-231.46700000000027</v>
      </c>
    </row>
    <row r="45" spans="1:7" x14ac:dyDescent="0.2">
      <c r="A45" s="6" t="s">
        <v>135</v>
      </c>
      <c r="B45" s="96">
        <v>121.441</v>
      </c>
      <c r="C45" s="95">
        <f>B49</f>
        <v>112.82599999999992</v>
      </c>
      <c r="D45" s="95">
        <f>C49</f>
        <v>91.686999999999841</v>
      </c>
      <c r="E45" s="95">
        <f>D49</f>
        <v>65.26699999999984</v>
      </c>
      <c r="F45" s="95">
        <f>E49</f>
        <v>370.98999999999978</v>
      </c>
      <c r="G45" s="95">
        <f>F49</f>
        <v>895.95699999999999</v>
      </c>
    </row>
    <row r="46" spans="1:7" x14ac:dyDescent="0.2">
      <c r="A46" s="8" t="s">
        <v>244</v>
      </c>
      <c r="B46" s="94">
        <v>0</v>
      </c>
      <c r="C46" s="94">
        <v>0</v>
      </c>
      <c r="D46" s="94">
        <v>14.962999999999999</v>
      </c>
      <c r="E46" s="94">
        <v>0</v>
      </c>
      <c r="F46" s="94">
        <v>0</v>
      </c>
      <c r="G46" s="49">
        <v>0</v>
      </c>
    </row>
    <row r="47" spans="1:7" x14ac:dyDescent="0.2">
      <c r="A47" s="8" t="s">
        <v>136</v>
      </c>
      <c r="B47" s="94">
        <v>2.7E-2</v>
      </c>
      <c r="C47" s="94">
        <v>4.0000000000000001E-3</v>
      </c>
      <c r="D47" s="94">
        <v>2E-3</v>
      </c>
      <c r="E47" s="94">
        <v>-6.7000000000000004E-2</v>
      </c>
      <c r="F47" s="94">
        <v>0</v>
      </c>
      <c r="G47" s="49">
        <v>1.6</v>
      </c>
    </row>
    <row r="48" spans="1:7" x14ac:dyDescent="0.2">
      <c r="A48" s="8" t="s">
        <v>137</v>
      </c>
      <c r="B48" s="94">
        <v>0</v>
      </c>
      <c r="C48" s="94">
        <v>-14.962999999999999</v>
      </c>
      <c r="D48" s="94">
        <v>0</v>
      </c>
      <c r="E48" s="94">
        <v>0</v>
      </c>
      <c r="F48" s="94">
        <v>0</v>
      </c>
      <c r="G48" s="49">
        <v>0</v>
      </c>
    </row>
    <row r="49" spans="1:7" ht="13.5" thickBot="1" x14ac:dyDescent="0.25">
      <c r="A49" s="6" t="s">
        <v>138</v>
      </c>
      <c r="B49" s="74">
        <f>SUM(B44:B48)</f>
        <v>112.82599999999992</v>
      </c>
      <c r="C49" s="74">
        <f>SUM(C44:C48)</f>
        <v>91.686999999999841</v>
      </c>
      <c r="D49" s="74">
        <f t="shared" ref="D49:G49" si="5">SUM(D44:D48)</f>
        <v>65.26699999999984</v>
      </c>
      <c r="E49" s="74">
        <f t="shared" si="5"/>
        <v>370.98999999999978</v>
      </c>
      <c r="F49" s="74">
        <f t="shared" si="5"/>
        <v>895.95699999999999</v>
      </c>
      <c r="G49" s="74">
        <f t="shared" si="5"/>
        <v>666.0899999999998</v>
      </c>
    </row>
    <row r="50" spans="1:7" ht="13.5" thickTop="1" x14ac:dyDescent="0.2"/>
  </sheetData>
  <pageMargins left="0.70866141732283472" right="0.70866141732283472" top="0.74803149606299213" bottom="0.74803149606299213" header="0.31496062992125984" footer="0.31496062992125984"/>
  <pageSetup paperSize="9" scale="77" fitToHeight="0" orientation="landscape" r:id="rId1"/>
  <headerFooter>
    <oddFooter>&amp;C&amp;"Arial,Regular"&amp;10Page &amp;P</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07D75D-65CF-4595-9A59-15A45E628EBB}">
  <sheetPr>
    <pageSetUpPr fitToPage="1"/>
  </sheetPr>
  <dimension ref="A1:L47"/>
  <sheetViews>
    <sheetView showGridLines="0" zoomScaleNormal="100" workbookViewId="0">
      <selection activeCell="O5" sqref="O5"/>
    </sheetView>
  </sheetViews>
  <sheetFormatPr defaultRowHeight="12.75" x14ac:dyDescent="0.2"/>
  <cols>
    <col min="1" max="1" width="67.140625" style="7" bestFit="1" customWidth="1"/>
    <col min="2" max="7" width="9.140625" style="7"/>
    <col min="8" max="8" width="2.140625" style="7" customWidth="1"/>
    <col min="9" max="12" width="9"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215</v>
      </c>
      <c r="B3" s="5"/>
      <c r="C3" s="5"/>
      <c r="D3" s="5"/>
      <c r="E3" s="5"/>
      <c r="F3" s="5"/>
      <c r="G3" s="5"/>
      <c r="H3" s="5"/>
      <c r="I3" s="5"/>
      <c r="J3" s="5"/>
      <c r="K3" s="5"/>
      <c r="L3" s="5"/>
    </row>
    <row r="4" spans="1:12" x14ac:dyDescent="0.2">
      <c r="A4" s="110" t="s">
        <v>227</v>
      </c>
    </row>
    <row r="5" spans="1:12" x14ac:dyDescent="0.2">
      <c r="B5" s="9" t="s">
        <v>49</v>
      </c>
      <c r="C5" s="9" t="s">
        <v>50</v>
      </c>
      <c r="D5" s="9" t="s">
        <v>51</v>
      </c>
      <c r="E5" s="9" t="s">
        <v>52</v>
      </c>
      <c r="F5" s="9" t="s">
        <v>53</v>
      </c>
      <c r="G5" s="9" t="s">
        <v>308</v>
      </c>
      <c r="I5" s="11"/>
      <c r="J5" s="11"/>
      <c r="K5" s="6"/>
      <c r="L5" s="11"/>
    </row>
    <row r="6" spans="1:12" x14ac:dyDescent="0.2">
      <c r="A6" s="6" t="s">
        <v>299</v>
      </c>
    </row>
    <row r="7" spans="1:12" x14ac:dyDescent="0.2">
      <c r="A7" s="8" t="s">
        <v>218</v>
      </c>
      <c r="B7" s="49">
        <v>112.846</v>
      </c>
      <c r="C7" s="49">
        <v>91.686999999999998</v>
      </c>
      <c r="D7" s="49">
        <v>65.269000000000005</v>
      </c>
      <c r="E7" s="49">
        <v>225.36</v>
      </c>
      <c r="F7" s="94">
        <v>783.13</v>
      </c>
      <c r="G7" s="94">
        <v>501.20000000000005</v>
      </c>
      <c r="I7" s="18"/>
    </row>
    <row r="8" spans="1:12" x14ac:dyDescent="0.2">
      <c r="A8" s="8" t="s">
        <v>219</v>
      </c>
      <c r="B8" s="49">
        <v>0</v>
      </c>
      <c r="C8" s="49">
        <v>0</v>
      </c>
      <c r="D8" s="49">
        <v>0</v>
      </c>
      <c r="E8" s="49">
        <v>145.63</v>
      </c>
      <c r="F8" s="94">
        <v>112.83</v>
      </c>
      <c r="G8" s="94">
        <v>164.9</v>
      </c>
    </row>
    <row r="9" spans="1:12" x14ac:dyDescent="0.2">
      <c r="A9" s="8" t="s">
        <v>300</v>
      </c>
      <c r="B9" s="49">
        <v>0</v>
      </c>
      <c r="C9" s="49">
        <v>0</v>
      </c>
      <c r="D9" s="49">
        <v>0</v>
      </c>
      <c r="E9" s="49">
        <v>0</v>
      </c>
      <c r="F9" s="94">
        <v>100</v>
      </c>
      <c r="G9" s="94">
        <v>0</v>
      </c>
    </row>
    <row r="10" spans="1:12" x14ac:dyDescent="0.2">
      <c r="A10" s="6" t="s">
        <v>216</v>
      </c>
      <c r="B10" s="49"/>
      <c r="C10" s="49"/>
      <c r="D10" s="49"/>
      <c r="E10" s="49"/>
      <c r="F10" s="49"/>
      <c r="G10" s="49"/>
    </row>
    <row r="11" spans="1:12" ht="14.25" x14ac:dyDescent="0.2">
      <c r="A11" s="8" t="s">
        <v>293</v>
      </c>
      <c r="B11" s="49">
        <v>750</v>
      </c>
      <c r="C11" s="49">
        <v>750</v>
      </c>
      <c r="D11" s="49">
        <v>615</v>
      </c>
      <c r="E11" s="49">
        <v>615</v>
      </c>
      <c r="F11" s="49">
        <v>865</v>
      </c>
      <c r="G11" s="49">
        <v>865</v>
      </c>
    </row>
    <row r="12" spans="1:12" x14ac:dyDescent="0.2">
      <c r="A12" s="8" t="s">
        <v>220</v>
      </c>
      <c r="B12" s="49">
        <v>420</v>
      </c>
      <c r="C12" s="49">
        <v>430</v>
      </c>
      <c r="D12" s="49">
        <v>355</v>
      </c>
      <c r="E12" s="49">
        <v>460</v>
      </c>
      <c r="F12" s="49">
        <v>0</v>
      </c>
      <c r="G12" s="49">
        <v>476</v>
      </c>
    </row>
    <row r="13" spans="1:12" x14ac:dyDescent="0.2">
      <c r="A13" s="8" t="s">
        <v>221</v>
      </c>
      <c r="B13" s="49">
        <v>330</v>
      </c>
      <c r="C13" s="49">
        <v>320</v>
      </c>
      <c r="D13" s="49">
        <v>260</v>
      </c>
      <c r="E13" s="49">
        <v>155</v>
      </c>
      <c r="F13" s="49">
        <v>865</v>
      </c>
      <c r="G13" s="49">
        <v>389</v>
      </c>
    </row>
    <row r="14" spans="1:12" x14ac:dyDescent="0.2">
      <c r="A14" s="8"/>
      <c r="B14" s="49"/>
      <c r="C14" s="49"/>
      <c r="D14" s="49"/>
      <c r="E14" s="49"/>
      <c r="F14" s="49"/>
      <c r="G14" s="49"/>
    </row>
    <row r="15" spans="1:12" x14ac:dyDescent="0.2">
      <c r="A15" s="6" t="s">
        <v>217</v>
      </c>
      <c r="B15" s="49"/>
      <c r="C15" s="49"/>
      <c r="D15" s="49"/>
      <c r="E15" s="49"/>
      <c r="F15" s="49"/>
      <c r="G15" s="49"/>
    </row>
    <row r="16" spans="1:12" x14ac:dyDescent="0.2">
      <c r="A16" s="8" t="s">
        <v>325</v>
      </c>
      <c r="B16" s="49">
        <f t="shared" ref="B16:E16" si="0">B12-B7-B9</f>
        <v>307.154</v>
      </c>
      <c r="C16" s="49">
        <f t="shared" si="0"/>
        <v>338.31299999999999</v>
      </c>
      <c r="D16" s="49">
        <f t="shared" si="0"/>
        <v>289.73099999999999</v>
      </c>
      <c r="E16" s="49">
        <f t="shared" si="0"/>
        <v>234.64</v>
      </c>
      <c r="F16" s="49">
        <f>F12-F7-F9</f>
        <v>-883.13</v>
      </c>
      <c r="G16" s="49">
        <f>G12-G7-G9</f>
        <v>-25.200000000000045</v>
      </c>
    </row>
    <row r="17" spans="1:9" x14ac:dyDescent="0.2">
      <c r="A17" s="8" t="s">
        <v>357</v>
      </c>
      <c r="B17" s="98" t="s">
        <v>302</v>
      </c>
      <c r="C17" s="98" t="s">
        <v>302</v>
      </c>
      <c r="D17" s="98" t="s">
        <v>303</v>
      </c>
      <c r="E17" s="98" t="s">
        <v>304</v>
      </c>
      <c r="F17" s="98" t="s">
        <v>303</v>
      </c>
      <c r="G17" s="98" t="s">
        <v>324</v>
      </c>
      <c r="H17" s="99"/>
    </row>
    <row r="18" spans="1:9" x14ac:dyDescent="0.2">
      <c r="A18" s="8"/>
      <c r="B18" s="98"/>
      <c r="C18" s="98"/>
      <c r="D18" s="98"/>
      <c r="E18" s="98"/>
      <c r="F18" s="49"/>
      <c r="G18" s="49"/>
      <c r="H18" s="99"/>
    </row>
    <row r="19" spans="1:9" s="20" customFormat="1" x14ac:dyDescent="0.2">
      <c r="A19" s="19" t="s">
        <v>270</v>
      </c>
      <c r="I19" s="100"/>
    </row>
    <row r="20" spans="1:9" s="20" customFormat="1" x14ac:dyDescent="0.2">
      <c r="A20" s="8" t="s">
        <v>326</v>
      </c>
      <c r="B20" s="49">
        <f>B16</f>
        <v>307.154</v>
      </c>
      <c r="C20" s="49">
        <f t="shared" ref="C20:G20" si="1">C16</f>
        <v>338.31299999999999</v>
      </c>
      <c r="D20" s="49">
        <f t="shared" si="1"/>
        <v>289.73099999999999</v>
      </c>
      <c r="E20" s="49">
        <f t="shared" si="1"/>
        <v>234.64</v>
      </c>
      <c r="F20" s="94">
        <f t="shared" si="1"/>
        <v>-883.13</v>
      </c>
      <c r="G20" s="94">
        <f t="shared" si="1"/>
        <v>-25.200000000000045</v>
      </c>
    </row>
    <row r="21" spans="1:9" s="20" customFormat="1" x14ac:dyDescent="0.2">
      <c r="A21" s="8" t="s">
        <v>164</v>
      </c>
      <c r="B21" s="49">
        <v>0</v>
      </c>
      <c r="C21" s="49">
        <v>0</v>
      </c>
      <c r="D21" s="49">
        <v>-800</v>
      </c>
      <c r="E21" s="49">
        <v>0</v>
      </c>
      <c r="F21" s="94">
        <v>0</v>
      </c>
      <c r="G21" s="94">
        <v>0</v>
      </c>
    </row>
    <row r="22" spans="1:9" s="20" customFormat="1" x14ac:dyDescent="0.2">
      <c r="A22" s="8" t="s">
        <v>271</v>
      </c>
      <c r="B22" s="49">
        <v>12.985582000000001</v>
      </c>
      <c r="C22" s="49">
        <v>9.6793089999999946</v>
      </c>
      <c r="D22" s="49">
        <v>5.9390000000000001</v>
      </c>
      <c r="E22" s="49">
        <v>73.435000000000002</v>
      </c>
      <c r="F22" s="94">
        <v>6.81</v>
      </c>
      <c r="G22" s="94">
        <v>169.8</v>
      </c>
    </row>
    <row r="23" spans="1:9" s="20" customFormat="1" x14ac:dyDescent="0.2">
      <c r="A23" s="8" t="s">
        <v>260</v>
      </c>
      <c r="B23" s="49">
        <v>42.560900000000004</v>
      </c>
      <c r="C23" s="49">
        <v>65.666300000000007</v>
      </c>
      <c r="D23" s="49">
        <v>46.682000000000002</v>
      </c>
      <c r="E23" s="49">
        <v>54.719000000000001</v>
      </c>
      <c r="F23" s="94">
        <v>54.719000000000001</v>
      </c>
      <c r="G23" s="94">
        <v>33.299999999999997</v>
      </c>
    </row>
    <row r="24" spans="1:9" s="20" customFormat="1" x14ac:dyDescent="0.2">
      <c r="A24" s="8" t="s">
        <v>261</v>
      </c>
      <c r="B24" s="49">
        <v>0</v>
      </c>
      <c r="C24" s="49">
        <v>0</v>
      </c>
      <c r="D24" s="49">
        <v>2.5760000000000001</v>
      </c>
      <c r="E24" s="49">
        <v>5.6260000000000003</v>
      </c>
      <c r="F24" s="94">
        <v>25.331</v>
      </c>
      <c r="G24" s="94">
        <v>23.1</v>
      </c>
    </row>
    <row r="25" spans="1:9" s="20" customFormat="1" x14ac:dyDescent="0.2">
      <c r="A25" s="8" t="s">
        <v>269</v>
      </c>
      <c r="B25" s="101">
        <v>10.090418</v>
      </c>
      <c r="C25" s="101">
        <v>3.1007599999999997</v>
      </c>
      <c r="D25" s="101">
        <v>2.8319999999999999</v>
      </c>
      <c r="E25" s="101">
        <v>2.8319999999999999</v>
      </c>
      <c r="F25" s="120">
        <v>2.8319999999999999</v>
      </c>
      <c r="G25" s="120">
        <v>2.8</v>
      </c>
    </row>
    <row r="26" spans="1:9" s="20" customFormat="1" x14ac:dyDescent="0.2">
      <c r="A26" s="6" t="s">
        <v>358</v>
      </c>
      <c r="B26" s="119">
        <f>IF(SUM(B20:B25)&lt;0,"n/a",SUM(B20:B25))</f>
        <v>372.79090000000002</v>
      </c>
      <c r="C26" s="119">
        <f t="shared" ref="C26:E26" si="2">IF(SUM(C20:C25)&lt;0,"n/a",SUM(C20:C25))</f>
        <v>416.75936899999994</v>
      </c>
      <c r="D26" s="121" t="str">
        <f t="shared" si="2"/>
        <v>n/a</v>
      </c>
      <c r="E26" s="121">
        <f t="shared" si="2"/>
        <v>371.25199999999995</v>
      </c>
      <c r="F26" s="121" t="str">
        <f>IF(SUM(F20:F25)&lt;0,"n/a",SUM(F20:F25))</f>
        <v>n/a</v>
      </c>
      <c r="G26" s="121">
        <f>IF(SUM(G20:G25)&lt;0,"n/a",SUM(G20:G25))</f>
        <v>203.79999999999998</v>
      </c>
    </row>
    <row r="27" spans="1:9" s="20" customFormat="1" x14ac:dyDescent="0.2">
      <c r="A27" s="24"/>
    </row>
    <row r="28" spans="1:9" s="20" customFormat="1" x14ac:dyDescent="0.2">
      <c r="A28" s="27" t="s">
        <v>294</v>
      </c>
    </row>
    <row r="29" spans="1:9" s="20" customFormat="1" x14ac:dyDescent="0.2">
      <c r="A29" s="24"/>
    </row>
    <row r="30" spans="1:9" s="20" customFormat="1" x14ac:dyDescent="0.2">
      <c r="A30" s="24"/>
    </row>
    <row r="31" spans="1:9" s="20" customFormat="1" x14ac:dyDescent="0.2">
      <c r="A31" s="122"/>
    </row>
    <row r="32" spans="1:9" s="20" customFormat="1" x14ac:dyDescent="0.2">
      <c r="A32" s="19"/>
    </row>
    <row r="33" spans="1:1" s="20" customFormat="1" x14ac:dyDescent="0.2">
      <c r="A33" s="19"/>
    </row>
    <row r="34" spans="1:1" s="20" customFormat="1" x14ac:dyDescent="0.2">
      <c r="A34" s="24"/>
    </row>
    <row r="35" spans="1:1" s="20" customFormat="1" x14ac:dyDescent="0.2">
      <c r="A35" s="24"/>
    </row>
    <row r="36" spans="1:1" s="20" customFormat="1" x14ac:dyDescent="0.2">
      <c r="A36" s="24"/>
    </row>
    <row r="37" spans="1:1" s="20" customFormat="1" x14ac:dyDescent="0.2">
      <c r="A37" s="24"/>
    </row>
    <row r="38" spans="1:1" s="20" customFormat="1" x14ac:dyDescent="0.2">
      <c r="A38" s="24"/>
    </row>
    <row r="39" spans="1:1" s="20" customFormat="1" x14ac:dyDescent="0.2">
      <c r="A39" s="24"/>
    </row>
    <row r="40" spans="1:1" s="20" customFormat="1" x14ac:dyDescent="0.2">
      <c r="A40" s="24"/>
    </row>
    <row r="41" spans="1:1" s="20" customFormat="1" x14ac:dyDescent="0.2">
      <c r="A41" s="19"/>
    </row>
    <row r="42" spans="1:1" s="20" customFormat="1" x14ac:dyDescent="0.2">
      <c r="A42" s="19"/>
    </row>
    <row r="43" spans="1:1" s="20" customFormat="1" x14ac:dyDescent="0.2">
      <c r="A43" s="19"/>
    </row>
    <row r="44" spans="1:1" s="20" customFormat="1" x14ac:dyDescent="0.2">
      <c r="A44" s="24"/>
    </row>
    <row r="45" spans="1:1" s="20" customFormat="1" x14ac:dyDescent="0.2">
      <c r="A45" s="24"/>
    </row>
    <row r="46" spans="1:1" s="20" customFormat="1" x14ac:dyDescent="0.2">
      <c r="A46" s="24"/>
    </row>
    <row r="47" spans="1:1" s="20" customFormat="1" x14ac:dyDescent="0.2">
      <c r="A47" s="19"/>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8137E5-408F-45B6-B0A9-27EE85C3084F}">
  <sheetPr>
    <pageSetUpPr fitToPage="1"/>
  </sheetPr>
  <dimension ref="A1:L49"/>
  <sheetViews>
    <sheetView showGridLines="0" zoomScaleNormal="100" workbookViewId="0">
      <selection activeCell="O5" sqref="O5"/>
    </sheetView>
  </sheetViews>
  <sheetFormatPr defaultRowHeight="12.75" x14ac:dyDescent="0.2"/>
  <cols>
    <col min="1" max="1" width="57" style="7" bestFit="1" customWidth="1"/>
    <col min="2" max="7" width="9.140625" style="7"/>
    <col min="8" max="8" width="2.140625" style="7" customWidth="1"/>
    <col min="9" max="12" width="13.7109375" style="7" customWidth="1"/>
    <col min="13" max="16384" width="9.140625" style="7"/>
  </cols>
  <sheetData>
    <row r="1" spans="1:12" s="3" customFormat="1" ht="27.75" x14ac:dyDescent="0.4">
      <c r="A1" s="1" t="s">
        <v>0</v>
      </c>
      <c r="B1" s="2"/>
      <c r="C1" s="2"/>
      <c r="D1" s="2"/>
      <c r="E1" s="2"/>
      <c r="F1" s="2"/>
      <c r="G1" s="2"/>
      <c r="H1" s="2"/>
      <c r="I1" s="2"/>
      <c r="J1" s="2"/>
      <c r="K1" s="2"/>
      <c r="L1" s="2"/>
    </row>
    <row r="2" spans="1:12" s="3" customFormat="1" ht="14.25" x14ac:dyDescent="0.2"/>
    <row r="3" spans="1:12" s="3" customFormat="1" ht="18" x14ac:dyDescent="0.25">
      <c r="A3" s="4" t="s">
        <v>193</v>
      </c>
      <c r="B3" s="5"/>
      <c r="C3" s="5"/>
      <c r="D3" s="5"/>
      <c r="E3" s="5"/>
      <c r="F3" s="5"/>
      <c r="G3" s="5"/>
      <c r="H3" s="5"/>
      <c r="I3" s="5"/>
      <c r="J3" s="5"/>
      <c r="K3" s="5"/>
      <c r="L3" s="5"/>
    </row>
    <row r="4" spans="1:12" x14ac:dyDescent="0.2">
      <c r="A4" s="18"/>
    </row>
    <row r="5" spans="1:12" ht="13.5" thickBot="1" x14ac:dyDescent="0.25">
      <c r="B5" s="10" t="s">
        <v>49</v>
      </c>
      <c r="C5" s="10" t="s">
        <v>50</v>
      </c>
      <c r="D5" s="10" t="s">
        <v>51</v>
      </c>
      <c r="E5" s="10" t="s">
        <v>52</v>
      </c>
      <c r="F5" s="10" t="s">
        <v>53</v>
      </c>
      <c r="G5" s="10" t="s">
        <v>308</v>
      </c>
      <c r="I5" s="16"/>
      <c r="J5" s="16"/>
      <c r="K5" s="19"/>
      <c r="L5" s="16"/>
    </row>
    <row r="6" spans="1:12" x14ac:dyDescent="0.2">
      <c r="A6" s="6" t="s">
        <v>198</v>
      </c>
      <c r="B6" s="75"/>
      <c r="C6" s="75"/>
      <c r="D6" s="75"/>
      <c r="E6" s="75"/>
      <c r="F6" s="75"/>
      <c r="G6" s="75"/>
    </row>
    <row r="7" spans="1:12" x14ac:dyDescent="0.2">
      <c r="A7" s="8" t="s">
        <v>194</v>
      </c>
      <c r="B7" s="75">
        <v>0.35</v>
      </c>
      <c r="C7" s="75">
        <v>0.32</v>
      </c>
      <c r="D7" s="75">
        <v>0.32</v>
      </c>
      <c r="E7" s="75">
        <v>0.3</v>
      </c>
      <c r="F7" s="75">
        <v>0.31756434869040168</v>
      </c>
      <c r="G7" s="75">
        <v>0.32319356461986953</v>
      </c>
    </row>
    <row r="8" spans="1:12" x14ac:dyDescent="0.2">
      <c r="A8" s="8" t="s">
        <v>195</v>
      </c>
      <c r="B8" s="75">
        <v>0.34</v>
      </c>
      <c r="C8" s="75">
        <v>0.33</v>
      </c>
      <c r="D8" s="75">
        <v>0.32</v>
      </c>
      <c r="E8" s="75">
        <v>0.32</v>
      </c>
      <c r="F8" s="75">
        <v>0.34443622866376067</v>
      </c>
      <c r="G8" s="75">
        <v>0.32406171678517681</v>
      </c>
    </row>
    <row r="9" spans="1:12" x14ac:dyDescent="0.2">
      <c r="A9" s="8" t="s">
        <v>196</v>
      </c>
      <c r="B9" s="75">
        <v>0.2</v>
      </c>
      <c r="C9" s="75">
        <v>0.23</v>
      </c>
      <c r="D9" s="75">
        <v>0.24</v>
      </c>
      <c r="E9" s="75">
        <v>0.23</v>
      </c>
      <c r="F9" s="75">
        <v>0.21153136230261646</v>
      </c>
      <c r="G9" s="75">
        <v>0.22246663504080968</v>
      </c>
    </row>
    <row r="10" spans="1:12" x14ac:dyDescent="0.2">
      <c r="A10" s="8" t="s">
        <v>197</v>
      </c>
      <c r="B10" s="75">
        <v>0.06</v>
      </c>
      <c r="C10" s="75">
        <v>7.0000000000000007E-2</v>
      </c>
      <c r="D10" s="75">
        <v>7.0000000000000007E-2</v>
      </c>
      <c r="E10" s="75">
        <v>0.09</v>
      </c>
      <c r="F10" s="75">
        <v>6.445183672582841E-2</v>
      </c>
      <c r="G10" s="75">
        <v>6.5924306990587128E-2</v>
      </c>
    </row>
    <row r="11" spans="1:12" x14ac:dyDescent="0.2">
      <c r="A11" s="8" t="s">
        <v>27</v>
      </c>
      <c r="B11" s="75">
        <v>0.05</v>
      </c>
      <c r="C11" s="75">
        <v>0.06</v>
      </c>
      <c r="D11" s="75">
        <v>0.06</v>
      </c>
      <c r="E11" s="75">
        <v>0.04</v>
      </c>
      <c r="F11" s="75">
        <v>6.2014894767318522E-2</v>
      </c>
      <c r="G11" s="75">
        <v>6.4352278562904305E-2</v>
      </c>
    </row>
    <row r="12" spans="1:12" x14ac:dyDescent="0.2">
      <c r="A12" s="6" t="s">
        <v>199</v>
      </c>
      <c r="B12" s="75"/>
      <c r="C12" s="75"/>
      <c r="D12" s="75"/>
      <c r="E12" s="75"/>
      <c r="F12" s="75"/>
      <c r="G12" s="75"/>
    </row>
    <row r="13" spans="1:12" x14ac:dyDescent="0.2">
      <c r="A13" s="8" t="s">
        <v>194</v>
      </c>
      <c r="B13" s="75">
        <v>0.26</v>
      </c>
      <c r="C13" s="75">
        <v>0.27</v>
      </c>
      <c r="D13" s="75">
        <v>0.27</v>
      </c>
      <c r="E13" s="75">
        <v>0.21</v>
      </c>
      <c r="F13" s="75">
        <v>0.24364191724817058</v>
      </c>
      <c r="G13" s="75">
        <v>0.24772115101420578</v>
      </c>
      <c r="H13" s="20"/>
      <c r="I13" s="20"/>
      <c r="J13" s="20"/>
    </row>
    <row r="14" spans="1:12" x14ac:dyDescent="0.2">
      <c r="A14" s="8" t="s">
        <v>195</v>
      </c>
      <c r="B14" s="75">
        <v>0.4</v>
      </c>
      <c r="C14" s="75">
        <v>0.39</v>
      </c>
      <c r="D14" s="75">
        <v>0.38</v>
      </c>
      <c r="E14" s="75">
        <v>0.41</v>
      </c>
      <c r="F14" s="75">
        <v>0.3302498014884464</v>
      </c>
      <c r="G14" s="75">
        <v>0.30296448151661398</v>
      </c>
      <c r="H14" s="20"/>
      <c r="I14" s="20"/>
      <c r="J14" s="20"/>
    </row>
    <row r="15" spans="1:12" x14ac:dyDescent="0.2">
      <c r="A15" s="8" t="s">
        <v>196</v>
      </c>
      <c r="B15" s="75">
        <v>0.22</v>
      </c>
      <c r="C15" s="75">
        <v>0.22</v>
      </c>
      <c r="D15" s="75">
        <v>0.23</v>
      </c>
      <c r="E15" s="75">
        <v>0.22</v>
      </c>
      <c r="F15" s="75">
        <v>0.25118472161706884</v>
      </c>
      <c r="G15" s="75">
        <v>0.26494633903886944</v>
      </c>
      <c r="H15" s="20"/>
      <c r="I15" s="20"/>
      <c r="J15" s="20"/>
    </row>
    <row r="16" spans="1:12" x14ac:dyDescent="0.2">
      <c r="A16" s="8" t="s">
        <v>197</v>
      </c>
      <c r="B16" s="75">
        <v>0.1</v>
      </c>
      <c r="C16" s="75">
        <v>0.09</v>
      </c>
      <c r="D16" s="75">
        <v>0.1</v>
      </c>
      <c r="E16" s="75">
        <v>0.1</v>
      </c>
      <c r="F16" s="75">
        <v>0.11336606965513718</v>
      </c>
      <c r="G16" s="75">
        <v>0.12222159351884146</v>
      </c>
      <c r="H16" s="20"/>
      <c r="I16" s="20"/>
      <c r="J16" s="20"/>
    </row>
    <row r="17" spans="1:10" x14ac:dyDescent="0.2">
      <c r="A17" s="8" t="s">
        <v>27</v>
      </c>
      <c r="B17" s="75">
        <v>0.02</v>
      </c>
      <c r="C17" s="75">
        <v>0.04</v>
      </c>
      <c r="D17" s="75">
        <v>0.02</v>
      </c>
      <c r="E17" s="75">
        <v>0.05</v>
      </c>
      <c r="F17" s="75">
        <v>6.1557429894918247E-2</v>
      </c>
      <c r="G17" s="75">
        <v>6.2140356554630571E-2</v>
      </c>
      <c r="H17" s="20"/>
      <c r="I17" s="20"/>
      <c r="J17" s="20"/>
    </row>
    <row r="18" spans="1:10" x14ac:dyDescent="0.2">
      <c r="A18" s="6" t="s">
        <v>200</v>
      </c>
      <c r="B18" s="75"/>
      <c r="C18" s="75"/>
      <c r="D18" s="75"/>
      <c r="E18" s="75"/>
      <c r="F18" s="75"/>
      <c r="G18" s="75"/>
      <c r="H18" s="20"/>
      <c r="I18" s="20"/>
      <c r="J18" s="20"/>
    </row>
    <row r="19" spans="1:10" x14ac:dyDescent="0.2">
      <c r="A19" s="8" t="s">
        <v>194</v>
      </c>
      <c r="B19" s="75"/>
      <c r="C19" s="75"/>
      <c r="D19" s="75"/>
      <c r="E19" s="75">
        <v>0.28999999999999998</v>
      </c>
      <c r="F19" s="75">
        <v>0.3</v>
      </c>
      <c r="G19" s="75">
        <v>0.30603708130645879</v>
      </c>
      <c r="H19" s="20"/>
      <c r="I19" s="20"/>
      <c r="J19" s="20"/>
    </row>
    <row r="20" spans="1:10" x14ac:dyDescent="0.2">
      <c r="A20" s="8" t="s">
        <v>196</v>
      </c>
      <c r="B20" s="75"/>
      <c r="C20" s="75"/>
      <c r="D20" s="75"/>
      <c r="E20" s="75">
        <v>0.28000000000000003</v>
      </c>
      <c r="F20" s="75">
        <v>0.28999999999999998</v>
      </c>
      <c r="G20" s="75">
        <v>0.31569525782064828</v>
      </c>
      <c r="H20" s="20"/>
      <c r="I20" s="20"/>
      <c r="J20" s="20"/>
    </row>
    <row r="21" spans="1:10" x14ac:dyDescent="0.2">
      <c r="A21" s="8" t="s">
        <v>246</v>
      </c>
      <c r="B21" s="75"/>
      <c r="C21" s="75"/>
      <c r="D21" s="75"/>
      <c r="E21" s="75">
        <v>0.1</v>
      </c>
      <c r="F21" s="75">
        <v>0.1</v>
      </c>
      <c r="G21" s="75">
        <v>8.0779603194828284E-2</v>
      </c>
      <c r="H21" s="20"/>
      <c r="I21" s="20"/>
      <c r="J21" s="20"/>
    </row>
    <row r="22" spans="1:10" x14ac:dyDescent="0.2">
      <c r="A22" s="8" t="s">
        <v>247</v>
      </c>
      <c r="B22" s="75"/>
      <c r="C22" s="75"/>
      <c r="D22" s="75"/>
      <c r="E22" s="75">
        <v>0.1</v>
      </c>
      <c r="F22" s="75">
        <v>0.1</v>
      </c>
      <c r="G22" s="75">
        <v>8.378732692420636E-2</v>
      </c>
      <c r="H22" s="20"/>
      <c r="I22" s="20"/>
      <c r="J22" s="20"/>
    </row>
    <row r="23" spans="1:10" x14ac:dyDescent="0.2">
      <c r="A23" s="8" t="s">
        <v>197</v>
      </c>
      <c r="B23" s="75"/>
      <c r="C23" s="75"/>
      <c r="D23" s="75"/>
      <c r="E23" s="75">
        <v>7.0000000000000007E-2</v>
      </c>
      <c r="F23" s="75">
        <v>7.0000000000000007E-2</v>
      </c>
      <c r="G23" s="75">
        <v>6.8950418086877893E-2</v>
      </c>
      <c r="H23" s="20"/>
      <c r="I23" s="20"/>
      <c r="J23" s="20"/>
    </row>
    <row r="24" spans="1:10" x14ac:dyDescent="0.2">
      <c r="A24" s="8" t="s">
        <v>162</v>
      </c>
      <c r="B24" s="75"/>
      <c r="C24" s="75"/>
      <c r="D24" s="75"/>
      <c r="E24" s="75">
        <v>0.13</v>
      </c>
      <c r="F24" s="75">
        <v>0.11</v>
      </c>
      <c r="G24" s="75">
        <v>0.10485817308022674</v>
      </c>
      <c r="H24" s="20"/>
      <c r="I24" s="20"/>
      <c r="J24" s="20"/>
    </row>
    <row r="25" spans="1:10" x14ac:dyDescent="0.2">
      <c r="A25" s="8" t="s">
        <v>27</v>
      </c>
      <c r="B25" s="75"/>
      <c r="C25" s="75"/>
      <c r="D25" s="75"/>
      <c r="E25" s="75">
        <v>0.03</v>
      </c>
      <c r="F25" s="75">
        <v>0.03</v>
      </c>
      <c r="G25" s="75">
        <v>3.9892139586757781E-2</v>
      </c>
      <c r="H25" s="20"/>
      <c r="I25" s="20"/>
      <c r="J25" s="20"/>
    </row>
    <row r="26" spans="1:10" x14ac:dyDescent="0.2">
      <c r="A26" s="6" t="s">
        <v>201</v>
      </c>
      <c r="B26" s="75"/>
      <c r="C26" s="75"/>
      <c r="D26" s="75"/>
      <c r="E26" s="75"/>
      <c r="F26" s="75"/>
      <c r="G26" s="75"/>
      <c r="H26" s="20"/>
      <c r="I26" s="20"/>
      <c r="J26" s="20"/>
    </row>
    <row r="27" spans="1:10" x14ac:dyDescent="0.2">
      <c r="A27" s="8" t="s">
        <v>194</v>
      </c>
      <c r="B27" s="75"/>
      <c r="C27" s="75"/>
      <c r="D27" s="75"/>
      <c r="E27" s="75">
        <v>0.26</v>
      </c>
      <c r="F27" s="75">
        <v>0.27</v>
      </c>
      <c r="G27" s="75">
        <v>0.28321118553530078</v>
      </c>
      <c r="H27" s="20"/>
      <c r="I27" s="20"/>
      <c r="J27" s="20"/>
    </row>
    <row r="28" spans="1:10" x14ac:dyDescent="0.2">
      <c r="A28" s="8" t="s">
        <v>196</v>
      </c>
      <c r="B28" s="75"/>
      <c r="C28" s="75"/>
      <c r="D28" s="75"/>
      <c r="E28" s="75">
        <v>0.28999999999999998</v>
      </c>
      <c r="F28" s="75">
        <v>0.3</v>
      </c>
      <c r="G28" s="75">
        <v>0.34480561934270626</v>
      </c>
      <c r="H28" s="20"/>
      <c r="I28" s="20"/>
      <c r="J28" s="20"/>
    </row>
    <row r="29" spans="1:10" x14ac:dyDescent="0.2">
      <c r="A29" s="8" t="s">
        <v>246</v>
      </c>
      <c r="B29" s="75"/>
      <c r="C29" s="75"/>
      <c r="D29" s="75"/>
      <c r="E29" s="75">
        <v>0.15</v>
      </c>
      <c r="F29" s="75">
        <v>0.14000000000000001</v>
      </c>
      <c r="G29" s="75">
        <v>0.10136877274078175</v>
      </c>
      <c r="H29" s="20"/>
      <c r="I29" s="20"/>
      <c r="J29" s="20"/>
    </row>
    <row r="30" spans="1:10" x14ac:dyDescent="0.2">
      <c r="A30" s="8" t="s">
        <v>247</v>
      </c>
      <c r="B30" s="75"/>
      <c r="C30" s="75"/>
      <c r="D30" s="75"/>
      <c r="E30" s="75">
        <v>0.09</v>
      </c>
      <c r="F30" s="75">
        <v>0.08</v>
      </c>
      <c r="G30" s="75">
        <v>8.7315425759146387E-2</v>
      </c>
      <c r="H30" s="20"/>
      <c r="I30" s="20"/>
      <c r="J30" s="20"/>
    </row>
    <row r="31" spans="1:10" x14ac:dyDescent="0.2">
      <c r="A31" s="8" t="s">
        <v>197</v>
      </c>
      <c r="B31" s="75"/>
      <c r="C31" s="75"/>
      <c r="D31" s="75"/>
      <c r="E31" s="75">
        <v>0.1</v>
      </c>
      <c r="F31" s="75">
        <v>0.1</v>
      </c>
      <c r="G31" s="75">
        <v>7.8921483070062068E-2</v>
      </c>
      <c r="H31" s="20"/>
      <c r="I31" s="20"/>
      <c r="J31" s="20"/>
    </row>
    <row r="32" spans="1:10" ht="15" x14ac:dyDescent="0.25">
      <c r="A32" s="8" t="s">
        <v>162</v>
      </c>
      <c r="B32"/>
      <c r="C32"/>
      <c r="D32"/>
      <c r="E32" s="75">
        <v>0.08</v>
      </c>
      <c r="F32" s="75">
        <v>0.06</v>
      </c>
      <c r="G32" s="75">
        <v>5.796343511019162E-2</v>
      </c>
      <c r="H32" s="20"/>
      <c r="I32" s="20"/>
      <c r="J32" s="20"/>
    </row>
    <row r="33" spans="1:10" ht="15" x14ac:dyDescent="0.25">
      <c r="A33" s="8" t="s">
        <v>27</v>
      </c>
      <c r="B33"/>
      <c r="C33"/>
      <c r="D33"/>
      <c r="E33" s="75">
        <v>0.04</v>
      </c>
      <c r="F33" s="75">
        <v>0.04</v>
      </c>
      <c r="G33" s="75">
        <v>4.6414078441811203E-2</v>
      </c>
      <c r="H33" s="20"/>
      <c r="I33" s="20"/>
      <c r="J33" s="20"/>
    </row>
    <row r="34" spans="1:10" x14ac:dyDescent="0.2">
      <c r="A34" s="6" t="s">
        <v>327</v>
      </c>
      <c r="B34" s="20"/>
      <c r="C34" s="20"/>
      <c r="D34" s="20"/>
      <c r="E34" s="20"/>
      <c r="F34" s="20"/>
      <c r="G34" s="75"/>
      <c r="H34" s="20"/>
      <c r="I34" s="20"/>
      <c r="J34" s="20"/>
    </row>
    <row r="35" spans="1:10" x14ac:dyDescent="0.2">
      <c r="A35" s="8" t="s">
        <v>194</v>
      </c>
      <c r="B35" s="20"/>
      <c r="C35" s="20"/>
      <c r="D35" s="20"/>
      <c r="E35" s="20"/>
      <c r="F35" s="20"/>
      <c r="G35" s="75">
        <v>0.31066715618037399</v>
      </c>
      <c r="H35" s="20"/>
      <c r="I35" s="20"/>
      <c r="J35" s="20"/>
    </row>
    <row r="36" spans="1:10" x14ac:dyDescent="0.2">
      <c r="A36" s="8" t="s">
        <v>196</v>
      </c>
      <c r="B36" s="20"/>
      <c r="C36" s="20"/>
      <c r="D36" s="20"/>
      <c r="E36" s="20"/>
      <c r="F36" s="20"/>
      <c r="G36" s="75">
        <v>0.32028983221763935</v>
      </c>
      <c r="H36" s="20"/>
      <c r="I36" s="20"/>
      <c r="J36" s="20"/>
    </row>
    <row r="37" spans="1:10" x14ac:dyDescent="0.2">
      <c r="A37" s="8" t="s">
        <v>246</v>
      </c>
      <c r="B37" s="20"/>
      <c r="C37" s="20"/>
      <c r="D37" s="20"/>
      <c r="E37" s="20"/>
      <c r="F37" s="20"/>
      <c r="G37" s="75">
        <v>8.2272947524838588E-2</v>
      </c>
      <c r="H37" s="20"/>
      <c r="I37" s="20"/>
      <c r="J37" s="20"/>
    </row>
    <row r="38" spans="1:10" x14ac:dyDescent="0.2">
      <c r="A38" s="8" t="s">
        <v>247</v>
      </c>
      <c r="B38" s="20"/>
      <c r="C38" s="20"/>
      <c r="D38" s="20"/>
      <c r="E38" s="20"/>
      <c r="F38" s="20"/>
      <c r="G38" s="75">
        <v>7.0374852703495597E-2</v>
      </c>
      <c r="H38" s="20"/>
      <c r="I38" s="20"/>
      <c r="J38" s="20"/>
    </row>
    <row r="39" spans="1:10" x14ac:dyDescent="0.2">
      <c r="A39" s="8" t="s">
        <v>197</v>
      </c>
      <c r="G39" s="75">
        <v>8.516036656238328E-2</v>
      </c>
    </row>
    <row r="40" spans="1:10" x14ac:dyDescent="0.2">
      <c r="A40" s="8" t="s">
        <v>162</v>
      </c>
      <c r="G40" s="75">
        <v>0.10584344131320098</v>
      </c>
    </row>
    <row r="41" spans="1:10" x14ac:dyDescent="0.2">
      <c r="A41" s="8" t="s">
        <v>27</v>
      </c>
      <c r="G41" s="75">
        <v>2.539140349806816E-2</v>
      </c>
    </row>
    <row r="42" spans="1:10" x14ac:dyDescent="0.2">
      <c r="A42" s="6" t="s">
        <v>328</v>
      </c>
      <c r="G42" s="75"/>
    </row>
    <row r="43" spans="1:10" x14ac:dyDescent="0.2">
      <c r="A43" s="8" t="s">
        <v>194</v>
      </c>
      <c r="G43" s="75">
        <v>0.21994589169612078</v>
      </c>
    </row>
    <row r="44" spans="1:10" x14ac:dyDescent="0.2">
      <c r="A44" s="8" t="s">
        <v>196</v>
      </c>
      <c r="G44" s="75">
        <v>0.26631430815551776</v>
      </c>
    </row>
    <row r="45" spans="1:10" x14ac:dyDescent="0.2">
      <c r="A45" s="8" t="s">
        <v>246</v>
      </c>
      <c r="G45" s="75">
        <v>0.23579657023170572</v>
      </c>
    </row>
    <row r="46" spans="1:10" x14ac:dyDescent="0.2">
      <c r="A46" s="8" t="s">
        <v>247</v>
      </c>
      <c r="G46" s="75">
        <v>5.7266439760876205E-2</v>
      </c>
    </row>
    <row r="47" spans="1:10" x14ac:dyDescent="0.2">
      <c r="A47" s="8" t="s">
        <v>197</v>
      </c>
      <c r="G47" s="75">
        <v>9.0107780250469088E-2</v>
      </c>
    </row>
    <row r="48" spans="1:10" x14ac:dyDescent="0.2">
      <c r="A48" s="8" t="s">
        <v>162</v>
      </c>
      <c r="G48" s="75">
        <v>3.5737661997643673E-2</v>
      </c>
    </row>
    <row r="49" spans="1:7" x14ac:dyDescent="0.2">
      <c r="A49" s="8" t="s">
        <v>27</v>
      </c>
      <c r="G49" s="75">
        <v>9.4836802373783655E-2</v>
      </c>
    </row>
  </sheetData>
  <pageMargins left="0.70866141732283472" right="0.70866141732283472" top="0.74803149606299213" bottom="0.74803149606299213" header="0.31496062992125984" footer="0.31496062992125984"/>
  <pageSetup paperSize="9" scale="77" fitToHeight="0" orientation="landscape" r:id="rId1"/>
  <headerFooter>
    <oddFooter>&amp;C&amp;"Arial,Regular"&amp;10Page &amp;P</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E28F2A-D469-45D8-93C0-1E13043AC2F2}">
  <sheetPr>
    <pageSetUpPr fitToPage="1"/>
  </sheetPr>
  <dimension ref="A1:M61"/>
  <sheetViews>
    <sheetView showGridLines="0" zoomScaleNormal="100" workbookViewId="0">
      <selection activeCell="O5" sqref="O5"/>
    </sheetView>
  </sheetViews>
  <sheetFormatPr defaultRowHeight="12.75" x14ac:dyDescent="0.2"/>
  <cols>
    <col min="1" max="1" width="49.28515625" style="7" bestFit="1" customWidth="1"/>
    <col min="2" max="3" width="13.140625" style="7" customWidth="1"/>
    <col min="4" max="7" width="12.7109375" style="7" customWidth="1"/>
    <col min="8" max="8" width="2.140625" style="7" customWidth="1"/>
    <col min="9" max="10" width="12.7109375" style="7" customWidth="1"/>
    <col min="11" max="11" width="1.7109375" style="7" customWidth="1"/>
    <col min="12" max="13" width="2.28515625" style="7" customWidth="1"/>
    <col min="14" max="16384" width="9.140625" style="7"/>
  </cols>
  <sheetData>
    <row r="1" spans="1:13" s="3" customFormat="1" ht="27.75" x14ac:dyDescent="0.4">
      <c r="A1" s="1" t="s">
        <v>0</v>
      </c>
      <c r="B1" s="2"/>
      <c r="C1" s="2"/>
      <c r="D1" s="2"/>
      <c r="E1" s="2"/>
      <c r="F1" s="2"/>
      <c r="G1" s="2"/>
      <c r="H1" s="2"/>
      <c r="I1" s="2"/>
      <c r="J1" s="2"/>
      <c r="K1" s="2"/>
      <c r="L1" s="2"/>
      <c r="M1" s="2"/>
    </row>
    <row r="2" spans="1:13" s="3" customFormat="1" ht="14.25" x14ac:dyDescent="0.2"/>
    <row r="3" spans="1:13" s="3" customFormat="1" ht="18" x14ac:dyDescent="0.25">
      <c r="A3" s="4" t="s">
        <v>252</v>
      </c>
      <c r="B3" s="5"/>
      <c r="C3" s="5"/>
      <c r="D3" s="5"/>
      <c r="E3" s="5"/>
      <c r="F3" s="5"/>
      <c r="G3" s="5"/>
      <c r="H3" s="5"/>
      <c r="I3" s="5"/>
      <c r="J3" s="5"/>
      <c r="K3" s="5"/>
      <c r="L3" s="5"/>
      <c r="M3" s="5"/>
    </row>
    <row r="4" spans="1:13" x14ac:dyDescent="0.2">
      <c r="A4" s="18"/>
    </row>
    <row r="5" spans="1:13" ht="13.5" thickBot="1" x14ac:dyDescent="0.25">
      <c r="B5" s="10" t="s">
        <v>49</v>
      </c>
      <c r="C5" s="10" t="s">
        <v>50</v>
      </c>
      <c r="D5" s="10" t="s">
        <v>51</v>
      </c>
      <c r="E5" s="10" t="s">
        <v>52</v>
      </c>
      <c r="F5" s="10" t="s">
        <v>53</v>
      </c>
      <c r="G5" s="10" t="s">
        <v>308</v>
      </c>
      <c r="I5" s="10" t="s">
        <v>305</v>
      </c>
      <c r="J5" s="10" t="s">
        <v>306</v>
      </c>
      <c r="K5" s="19"/>
      <c r="L5" s="16"/>
      <c r="M5" s="17"/>
    </row>
    <row r="6" spans="1:13" x14ac:dyDescent="0.2">
      <c r="A6" s="6" t="s">
        <v>208</v>
      </c>
    </row>
    <row r="7" spans="1:13" x14ac:dyDescent="0.2">
      <c r="A7" s="8" t="s">
        <v>62</v>
      </c>
      <c r="B7" s="47">
        <f>'Group Result'!B107</f>
        <v>99.849999999999952</v>
      </c>
      <c r="C7" s="47">
        <f>'Group Result'!C107</f>
        <v>98.104000000000013</v>
      </c>
      <c r="D7" s="47">
        <f>'Group Result'!D107</f>
        <v>61.357944660000022</v>
      </c>
      <c r="E7" s="47">
        <f>'Group Result'!E107</f>
        <v>67.460210050000072</v>
      </c>
      <c r="F7" s="47">
        <f>'Group Result'!F107</f>
        <v>65.859489350000246</v>
      </c>
      <c r="G7" s="47">
        <f>'Group Result'!G107</f>
        <v>81.893222080000157</v>
      </c>
      <c r="I7" s="47">
        <f>SUM(D7:E7)</f>
        <v>128.8181547100001</v>
      </c>
      <c r="J7" s="47">
        <f>SUM(F7:G7)</f>
        <v>147.7527114300004</v>
      </c>
    </row>
    <row r="8" spans="1:13" x14ac:dyDescent="0.2">
      <c r="A8" s="8" t="s">
        <v>206</v>
      </c>
      <c r="B8" s="47">
        <f>'Group Result'!B102</f>
        <v>92.519999999999953</v>
      </c>
      <c r="C8" s="47">
        <f>'Group Result'!C102</f>
        <v>90.76</v>
      </c>
      <c r="D8" s="47">
        <f>'Group Result'!D102</f>
        <v>56.507944660000021</v>
      </c>
      <c r="E8" s="47">
        <f>'Group Result'!E102</f>
        <v>67.54021005000007</v>
      </c>
      <c r="F8" s="47">
        <f>'Group Result'!F102</f>
        <v>65.859489350000246</v>
      </c>
      <c r="G8" s="47">
        <f>'Group Result'!G102</f>
        <v>81.893222080000157</v>
      </c>
      <c r="I8" s="47">
        <f t="shared" ref="I8:I10" si="0">SUM(D8:E8)</f>
        <v>124.04815471000009</v>
      </c>
      <c r="J8" s="47">
        <f t="shared" ref="J8:J10" si="1">SUM(F8:G8)</f>
        <v>147.7527114300004</v>
      </c>
    </row>
    <row r="9" spans="1:13" x14ac:dyDescent="0.2">
      <c r="A9" s="8" t="s">
        <v>57</v>
      </c>
      <c r="B9" s="47">
        <v>135.429</v>
      </c>
      <c r="C9" s="47">
        <v>-106.869</v>
      </c>
      <c r="D9" s="47">
        <v>114.98099999999999</v>
      </c>
      <c r="E9" s="47">
        <v>26.218999999999994</v>
      </c>
      <c r="F9" s="47">
        <v>54.415999999999997</v>
      </c>
      <c r="G9" s="47">
        <v>-197.965</v>
      </c>
      <c r="I9" s="47">
        <f t="shared" si="0"/>
        <v>141.19999999999999</v>
      </c>
      <c r="J9" s="47">
        <f t="shared" si="1"/>
        <v>-143.54900000000001</v>
      </c>
    </row>
    <row r="10" spans="1:13" x14ac:dyDescent="0.2">
      <c r="A10" s="8" t="s">
        <v>205</v>
      </c>
      <c r="B10" s="47">
        <v>69.629122210000006</v>
      </c>
      <c r="C10" s="47">
        <v>-99.443122210000013</v>
      </c>
      <c r="D10" s="47">
        <v>27.805</v>
      </c>
      <c r="E10" s="47">
        <v>25.195</v>
      </c>
      <c r="F10" s="47">
        <v>54.415999999999997</v>
      </c>
      <c r="G10" s="47">
        <v>-197.965</v>
      </c>
      <c r="I10" s="47">
        <f t="shared" si="0"/>
        <v>53</v>
      </c>
      <c r="J10" s="47">
        <f t="shared" si="1"/>
        <v>-143.54900000000001</v>
      </c>
    </row>
    <row r="11" spans="1:13" x14ac:dyDescent="0.2">
      <c r="A11" s="6" t="s">
        <v>207</v>
      </c>
      <c r="B11" s="15"/>
      <c r="C11" s="15"/>
      <c r="D11" s="15"/>
      <c r="E11" s="15"/>
      <c r="F11" s="15"/>
      <c r="G11" s="15"/>
      <c r="I11" s="15"/>
      <c r="J11" s="15"/>
      <c r="K11" s="19"/>
      <c r="L11" s="16"/>
      <c r="M11" s="17"/>
    </row>
    <row r="12" spans="1:13" x14ac:dyDescent="0.2">
      <c r="A12" s="8" t="s">
        <v>202</v>
      </c>
      <c r="B12" s="108">
        <f>A37</f>
        <v>351076027</v>
      </c>
      <c r="C12" s="108">
        <f>A38</f>
        <v>351076027</v>
      </c>
      <c r="D12" s="108">
        <f>A39</f>
        <v>351076027</v>
      </c>
      <c r="E12" s="108">
        <f>A40</f>
        <v>351076027</v>
      </c>
      <c r="F12" s="108">
        <f>SUM(A41*D41/SUM($D$41:$D$44),A42*D42/SUM($D$41:$D$44),A43*D43/SUM($D$41:$D$44),A44*D44/SUM($D$41:$D$44))</f>
        <v>531842426.41847825</v>
      </c>
      <c r="G12" s="108">
        <f>A45</f>
        <v>649324356</v>
      </c>
      <c r="I12" s="108">
        <f>A40</f>
        <v>351076027</v>
      </c>
      <c r="J12" s="108">
        <f>SUM(A41*D41/SUM($D$41:$D$45),A42*D42/SUM($D$41:$D$45),A43*D43/SUM($D$41:$D$45),A44*D44/SUM($D$41:$D$45),A45*D45/SUM($D$41:$D$45))</f>
        <v>590100588.7589041</v>
      </c>
    </row>
    <row r="13" spans="1:13" x14ac:dyDescent="0.2">
      <c r="A13" s="8" t="s">
        <v>203</v>
      </c>
      <c r="B13" s="109">
        <v>386748.92934782611</v>
      </c>
      <c r="C13" s="109">
        <v>856830.51933701662</v>
      </c>
      <c r="D13" s="109">
        <v>1014459.8641304348</v>
      </c>
      <c r="E13" s="109">
        <v>892726.07692307699</v>
      </c>
      <c r="F13" s="109">
        <v>792719</v>
      </c>
      <c r="G13" s="109">
        <v>792719</v>
      </c>
      <c r="H13" s="77"/>
      <c r="I13" s="109">
        <v>953925.57650273223</v>
      </c>
      <c r="J13" s="109">
        <v>792719</v>
      </c>
    </row>
    <row r="14" spans="1:13" x14ac:dyDescent="0.2">
      <c r="A14" s="8" t="s">
        <v>204</v>
      </c>
      <c r="B14" s="109">
        <v>880118.03260869556</v>
      </c>
      <c r="C14" s="109">
        <v>1084188.4198895029</v>
      </c>
      <c r="D14" s="109">
        <v>690738.7663043479</v>
      </c>
      <c r="E14" s="109">
        <v>878317.74175824178</v>
      </c>
      <c r="F14" s="109">
        <v>840588.73913043481</v>
      </c>
      <c r="G14" s="109">
        <v>1799506.5120510398</v>
      </c>
      <c r="H14" s="77"/>
      <c r="I14" s="109">
        <v>784015.74316939898</v>
      </c>
      <c r="J14" s="109">
        <v>1313195</v>
      </c>
    </row>
    <row r="15" spans="1:13" x14ac:dyDescent="0.2">
      <c r="A15" s="6" t="s">
        <v>65</v>
      </c>
    </row>
    <row r="16" spans="1:13" x14ac:dyDescent="0.2">
      <c r="A16" s="8" t="s">
        <v>66</v>
      </c>
      <c r="B16" s="47">
        <f>B7*1000000/(B12-B13)*100</f>
        <v>28.472498660162493</v>
      </c>
      <c r="C16" s="47">
        <f t="shared" ref="C16:E16" si="2">C7*1000000/(C12-C13)*100</f>
        <v>28.012170944894716</v>
      </c>
      <c r="D16" s="47">
        <f>D7*1000000/(D12-D13)*100</f>
        <v>17.527758091817354</v>
      </c>
      <c r="E16" s="47">
        <f t="shared" si="2"/>
        <v>19.264256711321231</v>
      </c>
      <c r="F16" s="47">
        <f>F7*1000000/(F12-F13)*100</f>
        <v>12.401756074804048</v>
      </c>
      <c r="G16" s="47">
        <f>G7*1000000/(G12-G13)*100</f>
        <v>12.627482979677698</v>
      </c>
      <c r="I16" s="47">
        <f>I7*1000000/(I12-I13)*100</f>
        <v>36.792351635689947</v>
      </c>
      <c r="J16" s="102">
        <f>J7*1000000/(J12-J13)*100</f>
        <v>25.072244748818395</v>
      </c>
    </row>
    <row r="17" spans="1:10" x14ac:dyDescent="0.2">
      <c r="A17" s="8" t="s">
        <v>209</v>
      </c>
      <c r="B17" s="47">
        <f>B8*1000000/(B12-B13)*100</f>
        <v>26.38232925426373</v>
      </c>
      <c r="C17" s="47">
        <f>C8*1000000/(C12-C13)*100</f>
        <v>25.915198513400512</v>
      </c>
      <c r="D17" s="102">
        <f>D8*1000000/(D12-D13)*100</f>
        <v>16.142287518831669</v>
      </c>
      <c r="E17" s="102">
        <f>E8*1000000/(E12-E13)*100</f>
        <v>19.287101889771812</v>
      </c>
      <c r="F17" s="47">
        <f t="shared" ref="F17:G17" si="3">F8*1000000/(F12-F13)*100</f>
        <v>12.401756074804048</v>
      </c>
      <c r="G17" s="47">
        <f t="shared" si="3"/>
        <v>12.627482979677698</v>
      </c>
      <c r="I17" s="47">
        <f t="shared" ref="I17:J17" si="4">I8*1000000/(I12-I13)*100</f>
        <v>35.429969775017184</v>
      </c>
      <c r="J17" s="102">
        <f t="shared" si="4"/>
        <v>25.072244748818395</v>
      </c>
    </row>
    <row r="18" spans="1:10" x14ac:dyDescent="0.2">
      <c r="A18" s="8" t="s">
        <v>59</v>
      </c>
      <c r="B18" s="47">
        <f>B9*1000000/(B12-B13)*100</f>
        <v>38.617947131168229</v>
      </c>
      <c r="C18" s="47">
        <f t="shared" ref="C18:F18" si="5">C9*1000000/(C12-C13)*100</f>
        <v>-30.514889267613484</v>
      </c>
      <c r="D18" s="47">
        <f t="shared" si="5"/>
        <v>32.845936485044746</v>
      </c>
      <c r="E18" s="47">
        <f t="shared" si="5"/>
        <v>7.4872216724461662</v>
      </c>
      <c r="F18" s="47">
        <f t="shared" si="5"/>
        <v>10.24687505516674</v>
      </c>
      <c r="G18" s="47">
        <f t="shared" ref="G18:I18" si="6">G9*1000000/(G12-G13)*100</f>
        <v>-30.525110681685991</v>
      </c>
      <c r="I18" s="47">
        <f t="shared" si="6"/>
        <v>40.328787993080361</v>
      </c>
      <c r="J18" s="102">
        <f>J9*1000000/(J12-J13)*100</f>
        <v>-24.358914476863909</v>
      </c>
    </row>
    <row r="19" spans="1:10" x14ac:dyDescent="0.2">
      <c r="A19" s="8" t="s">
        <v>60</v>
      </c>
      <c r="B19" s="47">
        <f>B9*1000000/(SUM(B12,B14)-B13)*100</f>
        <v>38.521271049492199</v>
      </c>
      <c r="C19" s="47">
        <f t="shared" ref="C19:F19" si="7">C9*1000000/(SUM(C12,C14)-C13)*100</f>
        <v>-30.420714571324908</v>
      </c>
      <c r="D19" s="47">
        <f t="shared" si="7"/>
        <v>32.78125277159792</v>
      </c>
      <c r="E19" s="47">
        <f t="shared" si="7"/>
        <v>7.4684894633929622</v>
      </c>
      <c r="F19" s="47">
        <f t="shared" si="7"/>
        <v>10.230681099674651</v>
      </c>
      <c r="G19" s="47">
        <f t="shared" ref="G19:I19" si="8">G9*1000000/(SUM(G12,G14)-G13)*100</f>
        <v>-30.440645811748919</v>
      </c>
      <c r="I19" s="47">
        <f t="shared" si="8"/>
        <v>40.238682967426165</v>
      </c>
      <c r="J19" s="102">
        <f>J9*1000000/(SUM(J12,J14)-J13)*100</f>
        <v>-24.304754531333515</v>
      </c>
    </row>
    <row r="20" spans="1:10" x14ac:dyDescent="0.2">
      <c r="A20" s="8" t="s">
        <v>210</v>
      </c>
      <c r="B20" s="47">
        <f>B10*1000000/(B12-B13)*100</f>
        <v>19.854933288257552</v>
      </c>
      <c r="C20" s="47">
        <f t="shared" ref="C20:F20" si="9">C10*1000000/(C12-C13)*100</f>
        <v>-28.394537823540084</v>
      </c>
      <c r="D20" s="102">
        <f>D10*1000000/(D12-D13)*100</f>
        <v>7.9428885117251475</v>
      </c>
      <c r="E20" s="47">
        <f>E10*1000000/(E12-E13)*100</f>
        <v>7.1948033882787756</v>
      </c>
      <c r="F20" s="47">
        <f t="shared" si="9"/>
        <v>10.24687505516674</v>
      </c>
      <c r="G20" s="47">
        <f t="shared" ref="G20:I20" si="10">G10*1000000/(G12-G13)*100</f>
        <v>-30.525110681685991</v>
      </c>
      <c r="I20" s="47">
        <f t="shared" si="10"/>
        <v>15.137576229697302</v>
      </c>
      <c r="J20" s="47">
        <f t="shared" ref="J20" si="11">J10*1000000/(J12-J13)*100</f>
        <v>-24.358914476863909</v>
      </c>
    </row>
    <row r="21" spans="1:10" x14ac:dyDescent="0.2">
      <c r="A21" s="6" t="s">
        <v>73</v>
      </c>
      <c r="B21" s="47"/>
      <c r="C21" s="47"/>
      <c r="D21" s="47"/>
      <c r="E21" s="47"/>
      <c r="F21" s="47"/>
      <c r="G21" s="47"/>
      <c r="I21" s="47"/>
      <c r="J21" s="47"/>
    </row>
    <row r="22" spans="1:10" x14ac:dyDescent="0.2">
      <c r="A22" s="8" t="s">
        <v>79</v>
      </c>
      <c r="B22" s="47">
        <f>'Group Result'!B63</f>
        <v>254.05000000000004</v>
      </c>
      <c r="C22" s="47">
        <f>'Group Result'!C63</f>
        <v>242.74000000000004</v>
      </c>
      <c r="D22" s="47">
        <f>'Group Result'!D63</f>
        <v>248.32794466000004</v>
      </c>
      <c r="E22" s="47">
        <f>'Group Result'!E63</f>
        <v>329.26021005000001</v>
      </c>
      <c r="F22" s="47">
        <f>'Group Result'!F63</f>
        <v>349.30448935000021</v>
      </c>
      <c r="G22" s="47">
        <f>'Group Result'!G63</f>
        <v>413.38624999000012</v>
      </c>
      <c r="I22" s="47">
        <f>SUM(D22:E22)</f>
        <v>577.58815471000003</v>
      </c>
      <c r="J22" s="47">
        <f>SUM(F22:G22)</f>
        <v>762.69073934000039</v>
      </c>
    </row>
    <row r="23" spans="1:10" x14ac:dyDescent="0.2">
      <c r="A23" s="8" t="s">
        <v>254</v>
      </c>
      <c r="B23" s="47">
        <f>-'Group Result'!B62</f>
        <v>0.08</v>
      </c>
      <c r="C23" s="47">
        <f>-'Group Result'!C62</f>
        <v>0.1</v>
      </c>
      <c r="D23" s="47">
        <f>-'Group Result'!D62</f>
        <v>0.04</v>
      </c>
      <c r="E23" s="47">
        <f>-'Group Result'!E62</f>
        <v>0.03</v>
      </c>
      <c r="F23" s="47">
        <f>-'Group Result'!F62</f>
        <v>0.03</v>
      </c>
      <c r="G23" s="47">
        <f>-'Group Result'!G62</f>
        <v>0.12129108</v>
      </c>
      <c r="I23" s="47">
        <f t="shared" ref="I23:I26" si="12">SUM(D23:E23)</f>
        <v>7.0000000000000007E-2</v>
      </c>
      <c r="J23" s="47">
        <f t="shared" ref="J23:J26" si="13">SUM(F23:G23)</f>
        <v>0.15129107999999999</v>
      </c>
    </row>
    <row r="24" spans="1:10" x14ac:dyDescent="0.2">
      <c r="A24" s="8" t="s">
        <v>13</v>
      </c>
      <c r="B24" s="47">
        <f>'Group Result'!B70</f>
        <v>6.61</v>
      </c>
      <c r="C24" s="47">
        <f>'Group Result'!C70</f>
        <v>8.629999999999999</v>
      </c>
      <c r="D24" s="47">
        <f>'Group Result'!D70</f>
        <v>5.98</v>
      </c>
      <c r="E24" s="47">
        <f>'Group Result'!E70</f>
        <v>5.35</v>
      </c>
      <c r="F24" s="47">
        <f>'Group Result'!F70</f>
        <v>2.04</v>
      </c>
      <c r="G24" s="47">
        <f>'Group Result'!G70</f>
        <v>6.083346879999997</v>
      </c>
      <c r="I24" s="47">
        <f t="shared" si="12"/>
        <v>11.33</v>
      </c>
      <c r="J24" s="47">
        <f t="shared" si="13"/>
        <v>8.1233468799999962</v>
      </c>
    </row>
    <row r="25" spans="1:10" x14ac:dyDescent="0.2">
      <c r="A25" s="8" t="s">
        <v>253</v>
      </c>
      <c r="B25" s="47">
        <v>28.721095829999999</v>
      </c>
      <c r="C25" s="47">
        <v>43.265753369999999</v>
      </c>
      <c r="D25" s="47">
        <v>8.0657532800000009</v>
      </c>
      <c r="E25" s="47">
        <v>2.21071821</v>
      </c>
      <c r="F25" s="47">
        <v>0</v>
      </c>
      <c r="G25" s="47">
        <v>0</v>
      </c>
      <c r="H25" s="47"/>
      <c r="I25" s="47">
        <f t="shared" si="12"/>
        <v>10.27647149</v>
      </c>
      <c r="J25" s="47">
        <f t="shared" si="13"/>
        <v>0</v>
      </c>
    </row>
    <row r="26" spans="1:10" x14ac:dyDescent="0.2">
      <c r="A26" s="8" t="s">
        <v>255</v>
      </c>
      <c r="B26" s="47">
        <f>'Group Result'!B86</f>
        <v>-149.28000000000006</v>
      </c>
      <c r="C26" s="47">
        <f>'Group Result'!C86</f>
        <v>-157.61000000000001</v>
      </c>
      <c r="D26" s="47">
        <f>'Group Result'!D86</f>
        <v>-163.65</v>
      </c>
      <c r="E26" s="47">
        <f>'Group Result'!E86</f>
        <v>-220.71999999999997</v>
      </c>
      <c r="F26" s="47">
        <f>'Group Result'!F86</f>
        <v>-239.74999999999997</v>
      </c>
      <c r="G26" s="47">
        <f>'Group Result'!G86</f>
        <v>-286.79167103999998</v>
      </c>
      <c r="I26" s="47">
        <f t="shared" si="12"/>
        <v>-384.37</v>
      </c>
      <c r="J26" s="47">
        <f t="shared" si="13"/>
        <v>-526.54167103999998</v>
      </c>
    </row>
    <row r="27" spans="1:10" x14ac:dyDescent="0.2">
      <c r="A27" s="8" t="s">
        <v>73</v>
      </c>
      <c r="B27" s="87">
        <f>ABS(B26/SUM(B22:B25))</f>
        <v>0.51571697250697857</v>
      </c>
      <c r="C27" s="87">
        <f t="shared" ref="C27:F27" si="14">ABS(C26/SUM(C22:C25))</f>
        <v>0.53475018961185361</v>
      </c>
      <c r="D27" s="87">
        <f t="shared" si="14"/>
        <v>0.62363360329390283</v>
      </c>
      <c r="E27" s="87">
        <f t="shared" si="14"/>
        <v>0.65524533698074361</v>
      </c>
      <c r="F27" s="87">
        <f t="shared" si="14"/>
        <v>0.68232045087709159</v>
      </c>
      <c r="G27" s="87">
        <f t="shared" ref="G27:J27" si="15">ABS(G26/SUM(G22:G25))</f>
        <v>0.68350309617346849</v>
      </c>
      <c r="H27" s="87"/>
      <c r="I27" s="87">
        <f>ABS(I26/SUM(I22:I25))</f>
        <v>0.64140278467182443</v>
      </c>
      <c r="J27" s="87">
        <f t="shared" si="15"/>
        <v>0.68296409481318443</v>
      </c>
    </row>
    <row r="28" spans="1:10" x14ac:dyDescent="0.2">
      <c r="A28" s="6" t="s">
        <v>74</v>
      </c>
      <c r="B28" s="47"/>
      <c r="C28" s="47"/>
      <c r="D28" s="47"/>
      <c r="E28" s="89"/>
      <c r="F28" s="47"/>
      <c r="G28" s="47"/>
      <c r="I28" s="47"/>
      <c r="J28" s="47"/>
    </row>
    <row r="29" spans="1:10" x14ac:dyDescent="0.2">
      <c r="A29" s="8" t="s">
        <v>256</v>
      </c>
      <c r="B29" s="47">
        <v>1821.5709811485715</v>
      </c>
      <c r="C29" s="47">
        <v>1819.6819963728569</v>
      </c>
      <c r="D29" s="47">
        <v>1692.9992529142858</v>
      </c>
      <c r="E29" s="47">
        <v>1725.4100725842857</v>
      </c>
      <c r="F29" s="47">
        <v>2308.4588748914289</v>
      </c>
      <c r="G29" s="47">
        <v>2728.0259799128571</v>
      </c>
      <c r="H29" s="47"/>
      <c r="I29" s="47">
        <v>1707.7709618523077</v>
      </c>
      <c r="J29" s="47">
        <v>2497.151006421539</v>
      </c>
    </row>
    <row r="30" spans="1:10" x14ac:dyDescent="0.2">
      <c r="A30" s="8" t="s">
        <v>257</v>
      </c>
      <c r="B30" s="59">
        <v>184</v>
      </c>
      <c r="C30" s="59">
        <v>181</v>
      </c>
      <c r="D30" s="59">
        <v>184</v>
      </c>
      <c r="E30" s="59">
        <v>182</v>
      </c>
      <c r="F30" s="59">
        <v>184</v>
      </c>
      <c r="G30" s="59">
        <v>181</v>
      </c>
      <c r="I30" s="59"/>
      <c r="J30" s="59"/>
    </row>
    <row r="31" spans="1:10" x14ac:dyDescent="0.2">
      <c r="A31" s="8" t="s">
        <v>258</v>
      </c>
      <c r="B31" s="59">
        <v>365</v>
      </c>
      <c r="C31" s="59">
        <v>365</v>
      </c>
      <c r="D31" s="59">
        <v>366</v>
      </c>
      <c r="E31" s="59">
        <v>366</v>
      </c>
      <c r="F31" s="59">
        <v>365</v>
      </c>
      <c r="G31" s="59">
        <v>365</v>
      </c>
      <c r="I31" s="59"/>
      <c r="J31" s="59"/>
    </row>
    <row r="32" spans="1:10" x14ac:dyDescent="0.2">
      <c r="A32" s="8" t="s">
        <v>74</v>
      </c>
      <c r="B32" s="87">
        <f>B7/B29*B31/B30</f>
        <v>0.10873691605729963</v>
      </c>
      <c r="C32" s="87">
        <f t="shared" ref="C32:G32" si="16">C7/C29*C31/C30</f>
        <v>0.10871901439015758</v>
      </c>
      <c r="D32" s="87">
        <f t="shared" si="16"/>
        <v>7.2090377434497463E-2</v>
      </c>
      <c r="E32" s="87">
        <f>E7/E29*E31/E30</f>
        <v>7.8625796409295942E-2</v>
      </c>
      <c r="F32" s="87">
        <f t="shared" si="16"/>
        <v>5.6594113111126616E-2</v>
      </c>
      <c r="G32" s="87">
        <f t="shared" si="16"/>
        <v>6.0536003541870977E-2</v>
      </c>
      <c r="I32" s="87">
        <f>I7/I29</f>
        <v>7.5430580322246171E-2</v>
      </c>
      <c r="J32" s="87">
        <f>J7/J29</f>
        <v>5.9168512857271142E-2</v>
      </c>
    </row>
    <row r="33" spans="1:13" x14ac:dyDescent="0.2">
      <c r="A33" s="6"/>
    </row>
    <row r="34" spans="1:13" s="3" customFormat="1" ht="18" x14ac:dyDescent="0.25">
      <c r="A34" s="4" t="s">
        <v>211</v>
      </c>
      <c r="B34" s="5"/>
      <c r="C34" s="5"/>
      <c r="D34" s="5"/>
      <c r="E34" s="5"/>
      <c r="F34" s="5"/>
      <c r="G34" s="5"/>
      <c r="H34" s="5"/>
      <c r="I34" s="5"/>
      <c r="J34" s="5"/>
      <c r="K34" s="5"/>
      <c r="L34" s="5"/>
      <c r="M34" s="5"/>
    </row>
    <row r="35" spans="1:13" x14ac:dyDescent="0.2">
      <c r="A35" s="18"/>
    </row>
    <row r="36" spans="1:13" ht="13.5" thickBot="1" x14ac:dyDescent="0.25">
      <c r="A36" s="8"/>
      <c r="B36" s="10" t="s">
        <v>212</v>
      </c>
      <c r="C36" s="10" t="s">
        <v>213</v>
      </c>
      <c r="D36" s="10" t="s">
        <v>214</v>
      </c>
      <c r="E36" s="20"/>
      <c r="F36" s="20"/>
      <c r="G36" s="20"/>
      <c r="H36" s="20"/>
      <c r="I36" s="20"/>
      <c r="J36" s="20"/>
    </row>
    <row r="37" spans="1:13" x14ac:dyDescent="0.2">
      <c r="A37" s="22">
        <v>351076027</v>
      </c>
      <c r="B37" s="76">
        <v>43282</v>
      </c>
      <c r="C37" s="76">
        <v>43465</v>
      </c>
      <c r="D37" s="22">
        <f>C37-B37+1</f>
        <v>184</v>
      </c>
      <c r="E37" s="20"/>
      <c r="F37" s="20"/>
      <c r="G37" s="20"/>
      <c r="H37" s="20"/>
      <c r="I37" s="20"/>
      <c r="J37" s="20"/>
    </row>
    <row r="38" spans="1:13" x14ac:dyDescent="0.2">
      <c r="A38" s="22">
        <v>351076027</v>
      </c>
      <c r="B38" s="76">
        <v>43466</v>
      </c>
      <c r="C38" s="76">
        <v>43646</v>
      </c>
      <c r="D38" s="22">
        <f t="shared" ref="D38:D44" si="17">C38-B38+1</f>
        <v>181</v>
      </c>
      <c r="E38" s="20"/>
      <c r="F38" s="20"/>
      <c r="G38" s="20"/>
      <c r="H38" s="20"/>
      <c r="I38" s="20"/>
      <c r="J38" s="20"/>
    </row>
    <row r="39" spans="1:13" x14ac:dyDescent="0.2">
      <c r="A39" s="22">
        <v>351076027</v>
      </c>
      <c r="B39" s="76">
        <v>43647</v>
      </c>
      <c r="C39" s="76">
        <v>43830</v>
      </c>
      <c r="D39" s="22">
        <f t="shared" si="17"/>
        <v>184</v>
      </c>
      <c r="E39" s="20"/>
      <c r="F39" s="20"/>
      <c r="G39" s="20"/>
      <c r="H39" s="20"/>
      <c r="I39" s="20"/>
      <c r="J39" s="20"/>
    </row>
    <row r="40" spans="1:13" x14ac:dyDescent="0.2">
      <c r="A40" s="22">
        <v>351076027</v>
      </c>
      <c r="B40" s="76">
        <v>43831</v>
      </c>
      <c r="C40" s="76">
        <v>44012</v>
      </c>
      <c r="D40" s="22">
        <f t="shared" si="17"/>
        <v>182</v>
      </c>
      <c r="E40" s="20"/>
      <c r="F40" s="20"/>
      <c r="G40" s="20"/>
      <c r="H40" s="20"/>
      <c r="I40" s="20"/>
      <c r="J40" s="20"/>
    </row>
    <row r="41" spans="1:13" x14ac:dyDescent="0.2">
      <c r="A41" s="22">
        <v>351076027</v>
      </c>
      <c r="B41" s="76">
        <v>44013</v>
      </c>
      <c r="C41" s="76">
        <v>44080</v>
      </c>
      <c r="D41" s="22">
        <f t="shared" si="17"/>
        <v>68</v>
      </c>
      <c r="E41" s="20"/>
      <c r="F41" s="20"/>
      <c r="G41" s="20"/>
      <c r="H41" s="20"/>
      <c r="I41" s="20"/>
      <c r="J41" s="20"/>
    </row>
    <row r="42" spans="1:13" x14ac:dyDescent="0.2">
      <c r="A42" s="22">
        <v>560345476</v>
      </c>
      <c r="B42" s="76">
        <v>44081</v>
      </c>
      <c r="C42" s="76">
        <v>44095</v>
      </c>
      <c r="D42" s="22">
        <f t="shared" si="17"/>
        <v>15</v>
      </c>
      <c r="E42" s="20"/>
      <c r="F42" s="20"/>
      <c r="G42" s="20"/>
      <c r="H42" s="20"/>
      <c r="I42" s="20"/>
      <c r="J42" s="20"/>
    </row>
    <row r="43" spans="1:13" x14ac:dyDescent="0.2">
      <c r="A43" s="22">
        <v>648218885</v>
      </c>
      <c r="B43" s="76">
        <v>44096</v>
      </c>
      <c r="C43" s="76">
        <v>44096</v>
      </c>
      <c r="D43" s="22">
        <f t="shared" si="17"/>
        <v>1</v>
      </c>
      <c r="E43" s="20"/>
      <c r="F43" s="20"/>
      <c r="G43" s="20"/>
      <c r="H43" s="20"/>
      <c r="I43" s="20"/>
      <c r="J43" s="20"/>
    </row>
    <row r="44" spans="1:13" x14ac:dyDescent="0.2">
      <c r="A44" s="22">
        <v>649324356</v>
      </c>
      <c r="B44" s="76">
        <v>44097</v>
      </c>
      <c r="C44" s="76">
        <v>44196</v>
      </c>
      <c r="D44" s="22">
        <f t="shared" si="17"/>
        <v>100</v>
      </c>
      <c r="E44" s="20"/>
      <c r="F44" s="20"/>
      <c r="G44" s="20"/>
      <c r="H44" s="20"/>
      <c r="I44" s="20"/>
      <c r="J44" s="20"/>
    </row>
    <row r="45" spans="1:13" x14ac:dyDescent="0.2">
      <c r="A45" s="22">
        <v>649324356</v>
      </c>
      <c r="B45" s="76">
        <v>44197</v>
      </c>
      <c r="C45" s="76">
        <v>44377</v>
      </c>
      <c r="D45" s="22">
        <v>181</v>
      </c>
      <c r="E45" s="20"/>
      <c r="F45" s="20"/>
      <c r="G45" s="20"/>
      <c r="H45" s="20"/>
      <c r="I45" s="20"/>
      <c r="J45" s="20"/>
    </row>
    <row r="46" spans="1:13" x14ac:dyDescent="0.2">
      <c r="A46" s="22"/>
      <c r="B46" s="22"/>
      <c r="C46" s="22"/>
      <c r="D46" s="22"/>
      <c r="E46" s="20"/>
      <c r="F46" s="20"/>
      <c r="G46" s="20"/>
      <c r="H46" s="20"/>
      <c r="I46" s="20"/>
      <c r="J46" s="20"/>
    </row>
    <row r="47" spans="1:13" x14ac:dyDescent="0.2">
      <c r="A47" s="6"/>
      <c r="B47" s="23"/>
      <c r="C47" s="23"/>
      <c r="D47" s="20"/>
      <c r="E47" s="20"/>
      <c r="F47" s="20"/>
      <c r="G47" s="20"/>
      <c r="H47" s="20"/>
      <c r="I47" s="20"/>
      <c r="J47" s="20"/>
    </row>
    <row r="48" spans="1:13" x14ac:dyDescent="0.2">
      <c r="A48" s="8"/>
      <c r="B48" s="20"/>
      <c r="C48" s="20"/>
      <c r="D48" s="20"/>
      <c r="E48" s="20"/>
      <c r="F48" s="20"/>
      <c r="G48" s="20"/>
      <c r="H48" s="20"/>
      <c r="I48" s="20"/>
      <c r="J48" s="20"/>
    </row>
    <row r="49" spans="1:10" x14ac:dyDescent="0.2">
      <c r="A49" s="8"/>
      <c r="B49" s="20"/>
      <c r="C49" s="20"/>
      <c r="D49" s="20"/>
      <c r="E49" s="20"/>
      <c r="F49" s="20"/>
      <c r="G49" s="20"/>
      <c r="H49" s="20"/>
      <c r="I49" s="20"/>
      <c r="J49" s="20"/>
    </row>
    <row r="50" spans="1:10" x14ac:dyDescent="0.2">
      <c r="A50" s="8"/>
      <c r="B50" s="20"/>
      <c r="C50" s="20"/>
      <c r="D50" s="20"/>
      <c r="E50" s="20"/>
      <c r="F50" s="20"/>
      <c r="G50" s="20"/>
      <c r="H50" s="20"/>
      <c r="I50" s="20"/>
      <c r="J50" s="20"/>
    </row>
    <row r="51" spans="1:10" x14ac:dyDescent="0.2">
      <c r="A51" s="8"/>
      <c r="B51" s="20"/>
      <c r="C51" s="20"/>
      <c r="D51" s="20"/>
      <c r="E51" s="20"/>
      <c r="F51" s="20"/>
      <c r="G51" s="20"/>
      <c r="H51" s="20"/>
      <c r="I51" s="20"/>
      <c r="J51" s="20"/>
    </row>
    <row r="52" spans="1:10" x14ac:dyDescent="0.2">
      <c r="A52" s="8"/>
      <c r="B52" s="20"/>
      <c r="C52" s="20"/>
      <c r="D52" s="20"/>
      <c r="E52" s="20"/>
      <c r="F52" s="20"/>
      <c r="G52" s="20"/>
      <c r="H52" s="20"/>
      <c r="I52" s="20"/>
      <c r="J52" s="20"/>
    </row>
    <row r="53" spans="1:10" x14ac:dyDescent="0.2">
      <c r="A53" s="8"/>
      <c r="B53" s="20"/>
      <c r="C53" s="20"/>
      <c r="D53" s="20"/>
      <c r="E53" s="20"/>
      <c r="F53" s="20"/>
      <c r="G53" s="20"/>
      <c r="H53" s="20"/>
      <c r="I53" s="20"/>
      <c r="J53" s="20"/>
    </row>
    <row r="54" spans="1:10" x14ac:dyDescent="0.2">
      <c r="A54" s="8"/>
      <c r="B54" s="20"/>
      <c r="C54" s="20"/>
      <c r="D54" s="20"/>
      <c r="E54" s="20"/>
      <c r="F54" s="20"/>
      <c r="G54" s="20"/>
      <c r="H54" s="20"/>
      <c r="I54" s="20"/>
      <c r="J54" s="20"/>
    </row>
    <row r="55" spans="1:10" x14ac:dyDescent="0.2">
      <c r="A55" s="6"/>
      <c r="B55" s="20"/>
      <c r="C55" s="20"/>
      <c r="D55" s="20"/>
      <c r="E55" s="20"/>
      <c r="F55" s="20"/>
      <c r="G55" s="20"/>
      <c r="H55" s="20"/>
      <c r="I55" s="20"/>
      <c r="J55" s="20"/>
    </row>
    <row r="56" spans="1:10" x14ac:dyDescent="0.2">
      <c r="A56" s="8"/>
      <c r="B56" s="20"/>
      <c r="C56" s="20"/>
      <c r="D56" s="20"/>
      <c r="E56" s="20"/>
      <c r="F56" s="20"/>
      <c r="G56" s="20"/>
      <c r="H56" s="20"/>
      <c r="I56" s="20"/>
      <c r="J56" s="20"/>
    </row>
    <row r="57" spans="1:10" x14ac:dyDescent="0.2">
      <c r="A57" s="6"/>
      <c r="B57" s="20"/>
      <c r="C57" s="20"/>
      <c r="D57" s="20"/>
      <c r="E57" s="20"/>
      <c r="F57" s="20"/>
      <c r="G57" s="20"/>
      <c r="H57" s="20"/>
      <c r="I57" s="20"/>
      <c r="J57" s="20"/>
    </row>
    <row r="58" spans="1:10" x14ac:dyDescent="0.2">
      <c r="B58" s="20"/>
      <c r="C58" s="20"/>
      <c r="D58" s="20"/>
      <c r="E58" s="20"/>
      <c r="F58" s="20"/>
      <c r="G58" s="20"/>
      <c r="H58" s="20"/>
      <c r="I58" s="20"/>
      <c r="J58" s="20"/>
    </row>
    <row r="59" spans="1:10" x14ac:dyDescent="0.2">
      <c r="B59" s="20"/>
      <c r="C59" s="20"/>
      <c r="D59" s="20"/>
      <c r="E59" s="20"/>
      <c r="F59" s="20"/>
      <c r="G59" s="20"/>
      <c r="H59" s="20"/>
      <c r="I59" s="20"/>
      <c r="J59" s="20"/>
    </row>
    <row r="60" spans="1:10" x14ac:dyDescent="0.2">
      <c r="B60" s="20"/>
      <c r="C60" s="20"/>
      <c r="D60" s="20"/>
      <c r="E60" s="20"/>
      <c r="F60" s="20"/>
      <c r="G60" s="20"/>
      <c r="H60" s="20"/>
      <c r="I60" s="20"/>
      <c r="J60" s="20"/>
    </row>
    <row r="61" spans="1:10" x14ac:dyDescent="0.2">
      <c r="B61" s="20"/>
      <c r="C61" s="20"/>
      <c r="D61" s="20"/>
      <c r="E61" s="20"/>
      <c r="F61" s="20"/>
      <c r="G61" s="20"/>
      <c r="H61" s="20"/>
      <c r="I61" s="20"/>
      <c r="J61" s="2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ignoredErrors>
    <ignoredError sqref="I9:J11 I20:J28 I19 I15:J18 I12" formulaRange="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A9D734-0F59-4AFA-8797-477F60FD1C71}">
  <sheetPr>
    <pageSetUpPr fitToPage="1"/>
  </sheetPr>
  <dimension ref="A1:P107"/>
  <sheetViews>
    <sheetView showGridLines="0" zoomScaleNormal="100" workbookViewId="0">
      <selection activeCell="O5" sqref="O5"/>
    </sheetView>
  </sheetViews>
  <sheetFormatPr defaultRowHeight="14.25" x14ac:dyDescent="0.2"/>
  <cols>
    <col min="1" max="1" width="64.85546875" style="3" customWidth="1"/>
    <col min="2" max="2" width="9.140625" style="3" customWidth="1"/>
    <col min="3" max="7" width="9.140625" style="3"/>
    <col min="8" max="8" width="2.140625" style="3" customWidth="1"/>
    <col min="9" max="10" width="9.140625" style="3"/>
    <col min="11" max="11" width="2.140625" style="3" customWidth="1"/>
    <col min="12" max="16384" width="9.140625" style="3"/>
  </cols>
  <sheetData>
    <row r="1" spans="1:16" ht="27.75" x14ac:dyDescent="0.4">
      <c r="A1" s="1" t="s">
        <v>0</v>
      </c>
      <c r="B1" s="2"/>
      <c r="C1" s="2"/>
      <c r="D1" s="2"/>
      <c r="E1" s="2"/>
      <c r="F1" s="2"/>
      <c r="G1" s="2"/>
      <c r="H1" s="2"/>
      <c r="I1" s="2"/>
      <c r="J1" s="2"/>
      <c r="K1" s="2"/>
      <c r="L1" s="2"/>
      <c r="M1" s="2"/>
    </row>
    <row r="3" spans="1:16" ht="18" x14ac:dyDescent="0.25">
      <c r="A3" s="4" t="s">
        <v>56</v>
      </c>
      <c r="B3" s="5"/>
      <c r="C3" s="5"/>
      <c r="D3" s="5"/>
      <c r="E3" s="5"/>
      <c r="F3" s="5"/>
      <c r="G3" s="5"/>
      <c r="H3" s="5"/>
      <c r="I3" s="5"/>
      <c r="J3" s="5"/>
      <c r="K3" s="5"/>
      <c r="L3" s="5"/>
      <c r="M3" s="5"/>
    </row>
    <row r="4" spans="1:16" s="7" customFormat="1" ht="12.75" x14ac:dyDescent="0.2">
      <c r="A4" s="27" t="s">
        <v>361</v>
      </c>
    </row>
    <row r="5" spans="1:16" s="7" customFormat="1" ht="13.5" thickBot="1" x14ac:dyDescent="0.25">
      <c r="B5" s="10" t="s">
        <v>49</v>
      </c>
      <c r="C5" s="10" t="s">
        <v>50</v>
      </c>
      <c r="D5" s="10" t="s">
        <v>51</v>
      </c>
      <c r="E5" s="10" t="s">
        <v>52</v>
      </c>
      <c r="F5" s="10" t="s">
        <v>53</v>
      </c>
      <c r="G5" s="10" t="s">
        <v>308</v>
      </c>
      <c r="I5" s="13" t="s">
        <v>305</v>
      </c>
      <c r="J5" s="13" t="s">
        <v>306</v>
      </c>
      <c r="K5" s="6"/>
      <c r="L5" s="13" t="s">
        <v>307</v>
      </c>
      <c r="M5" s="14"/>
    </row>
    <row r="6" spans="1:16" s="7" customFormat="1" ht="12.75" x14ac:dyDescent="0.2">
      <c r="A6" s="6" t="s">
        <v>64</v>
      </c>
      <c r="B6" s="15"/>
      <c r="C6" s="15"/>
      <c r="D6" s="15"/>
      <c r="E6" s="15"/>
      <c r="F6" s="15"/>
      <c r="G6" s="15"/>
      <c r="I6" s="16"/>
      <c r="J6" s="16"/>
      <c r="K6" s="6"/>
      <c r="L6" s="16"/>
      <c r="M6" s="17"/>
    </row>
    <row r="7" spans="1:16" s="7" customFormat="1" ht="12.75" x14ac:dyDescent="0.2">
      <c r="A7" s="8" t="s">
        <v>62</v>
      </c>
      <c r="B7" s="82">
        <f>B107</f>
        <v>99.849999999999952</v>
      </c>
      <c r="C7" s="82">
        <f t="shared" ref="C7:F7" si="0">C107</f>
        <v>98.104000000000013</v>
      </c>
      <c r="D7" s="103">
        <f t="shared" si="0"/>
        <v>61.357944660000022</v>
      </c>
      <c r="E7" s="82">
        <f t="shared" si="0"/>
        <v>67.460210050000072</v>
      </c>
      <c r="F7" s="82">
        <f t="shared" si="0"/>
        <v>65.859489350000246</v>
      </c>
      <c r="G7" s="82">
        <f t="shared" ref="G7" si="1">G107</f>
        <v>81.893222080000157</v>
      </c>
      <c r="H7" s="82"/>
      <c r="I7" s="82">
        <f>SUM(D7:E7)</f>
        <v>128.8181547100001</v>
      </c>
      <c r="J7" s="103">
        <f>SUM(F7:G7)</f>
        <v>147.7527114300004</v>
      </c>
      <c r="L7" s="47">
        <f>J7-I7</f>
        <v>18.934556720000302</v>
      </c>
      <c r="M7" s="29">
        <f>+IF(I7&lt;&gt;0,IF(ABS((L7)/I7)&gt;1,"n/a ",(L7)/I7*SIGN(I7)),"n/a ")</f>
        <v>0.14698670977414971</v>
      </c>
    </row>
    <row r="8" spans="1:16" s="7" customFormat="1" ht="12.75" x14ac:dyDescent="0.2">
      <c r="A8" s="8" t="s">
        <v>63</v>
      </c>
      <c r="B8" s="82">
        <f>B102</f>
        <v>92.519999999999953</v>
      </c>
      <c r="C8" s="82">
        <f t="shared" ref="C8:F8" si="2">C102</f>
        <v>90.76</v>
      </c>
      <c r="D8" s="82">
        <f t="shared" si="2"/>
        <v>56.507944660000021</v>
      </c>
      <c r="E8" s="82">
        <f t="shared" si="2"/>
        <v>67.54021005000007</v>
      </c>
      <c r="F8" s="82">
        <f t="shared" si="2"/>
        <v>65.859489350000246</v>
      </c>
      <c r="G8" s="82">
        <f t="shared" ref="G8" si="3">G102</f>
        <v>81.893222080000157</v>
      </c>
      <c r="H8" s="82"/>
      <c r="I8" s="103">
        <f t="shared" ref="I8:I10" si="4">SUM(D8:E8)</f>
        <v>124.04815471000009</v>
      </c>
      <c r="J8" s="103">
        <f t="shared" ref="J8:J10" si="5">SUM(F8:G8)</f>
        <v>147.7527114300004</v>
      </c>
      <c r="L8" s="47">
        <f t="shared" ref="L8:L35" si="6">J8-I8</f>
        <v>23.704556720000312</v>
      </c>
      <c r="M8" s="29">
        <f t="shared" ref="M8:M35" si="7">+IF(I8&lt;&gt;0,IF(ABS((L8)/I8)&gt;1,"n/a ",(L8)/I8*SIGN(I8)),"n/a ")</f>
        <v>0.19109157065187185</v>
      </c>
    </row>
    <row r="9" spans="1:16" s="7" customFormat="1" ht="12.75" x14ac:dyDescent="0.2">
      <c r="A9" s="8" t="s">
        <v>57</v>
      </c>
      <c r="B9" s="83">
        <f>Ratios!B9</f>
        <v>135.429</v>
      </c>
      <c r="C9" s="83">
        <f>Ratios!C9</f>
        <v>-106.869</v>
      </c>
      <c r="D9" s="83">
        <f>Ratios!D9</f>
        <v>114.98099999999999</v>
      </c>
      <c r="E9" s="151">
        <f>Ratios!E9</f>
        <v>26.218999999999994</v>
      </c>
      <c r="F9" s="83">
        <f>Ratios!F9</f>
        <v>54.415999999999997</v>
      </c>
      <c r="G9" s="83">
        <f>Ratios!G9</f>
        <v>-197.965</v>
      </c>
      <c r="H9" s="82"/>
      <c r="I9" s="82">
        <f t="shared" si="4"/>
        <v>141.19999999999999</v>
      </c>
      <c r="J9" s="103">
        <f t="shared" si="5"/>
        <v>-143.54900000000001</v>
      </c>
      <c r="L9" s="47">
        <f t="shared" si="6"/>
        <v>-284.74900000000002</v>
      </c>
      <c r="M9" s="29" t="str">
        <f t="shared" si="7"/>
        <v xml:space="preserve">n/a </v>
      </c>
    </row>
    <row r="10" spans="1:16" s="7" customFormat="1" ht="12.75" x14ac:dyDescent="0.2">
      <c r="A10" s="8" t="s">
        <v>58</v>
      </c>
      <c r="B10" s="83">
        <f>Ratios!B10</f>
        <v>69.629122210000006</v>
      </c>
      <c r="C10" s="83">
        <f>Ratios!C10</f>
        <v>-99.443122210000013</v>
      </c>
      <c r="D10" s="83">
        <f>Ratios!D10</f>
        <v>27.805</v>
      </c>
      <c r="E10" s="151">
        <f>Ratios!E10</f>
        <v>25.195</v>
      </c>
      <c r="F10" s="83">
        <f>Ratios!F10</f>
        <v>54.415999999999997</v>
      </c>
      <c r="G10" s="83">
        <f>Ratios!G10</f>
        <v>-197.965</v>
      </c>
      <c r="H10" s="82"/>
      <c r="I10" s="82">
        <f t="shared" si="4"/>
        <v>53</v>
      </c>
      <c r="J10" s="82">
        <f t="shared" si="5"/>
        <v>-143.54900000000001</v>
      </c>
      <c r="L10" s="47">
        <f t="shared" si="6"/>
        <v>-196.54900000000001</v>
      </c>
      <c r="M10" s="29" t="str">
        <f t="shared" si="7"/>
        <v xml:space="preserve">n/a </v>
      </c>
    </row>
    <row r="11" spans="1:16" s="7" customFormat="1" ht="12.75" x14ac:dyDescent="0.2">
      <c r="A11" s="6" t="s">
        <v>75</v>
      </c>
      <c r="B11" s="28"/>
      <c r="C11" s="28"/>
      <c r="D11" s="28"/>
      <c r="E11" s="28"/>
      <c r="F11" s="28"/>
      <c r="G11" s="28"/>
      <c r="I11" s="28"/>
      <c r="J11" s="28"/>
      <c r="M11" s="29"/>
    </row>
    <row r="12" spans="1:16" s="7" customFormat="1" ht="12.75" x14ac:dyDescent="0.2">
      <c r="A12" s="8" t="s">
        <v>77</v>
      </c>
      <c r="B12" s="151">
        <f>SUM(FUMA!C15,FUMA!C92)/1000</f>
        <v>60.783000000000001</v>
      </c>
      <c r="C12" s="151">
        <f>SUM(FUMA!E15,FUMA!E92)/1000</f>
        <v>66.635000000000005</v>
      </c>
      <c r="D12" s="151">
        <f>SUM(FUMA!G15,FUMA!G92)/1000</f>
        <v>69.113</v>
      </c>
      <c r="E12" s="151">
        <f>SUM(FUMA!I15,FUMA!I92)/1000</f>
        <v>131.762</v>
      </c>
      <c r="F12" s="151">
        <f>SUM(FUMA!K15,FUMA!K92)/1000</f>
        <v>137.095</v>
      </c>
      <c r="G12" s="83">
        <f>SUM(FUMA!M15,FUMA!M92)/1000</f>
        <v>453.35899999999998</v>
      </c>
      <c r="I12" s="83">
        <f>E12</f>
        <v>131.762</v>
      </c>
      <c r="J12" s="83">
        <f>G12</f>
        <v>453.35899999999998</v>
      </c>
      <c r="L12" s="47">
        <f t="shared" si="6"/>
        <v>321.59699999999998</v>
      </c>
      <c r="M12" s="29" t="str">
        <f t="shared" si="7"/>
        <v xml:space="preserve">n/a </v>
      </c>
    </row>
    <row r="13" spans="1:16" s="7" customFormat="1" ht="12.75" x14ac:dyDescent="0.2">
      <c r="A13" s="8" t="s">
        <v>248</v>
      </c>
      <c r="B13" s="151">
        <f>FUMA!C15/1000</f>
        <v>60.194000000000003</v>
      </c>
      <c r="C13" s="151">
        <f>FUMA!E15/1000</f>
        <v>66.015000000000001</v>
      </c>
      <c r="D13" s="151">
        <f>FUMA!G15/1000</f>
        <v>68.489999999999995</v>
      </c>
      <c r="E13" s="151">
        <f>FUMA!I15/1000</f>
        <v>131.762</v>
      </c>
      <c r="F13" s="151">
        <f>FUMA!K15/1000</f>
        <v>137.095</v>
      </c>
      <c r="G13" s="83">
        <f>FUMA!M15/1000</f>
        <v>453.35899999999998</v>
      </c>
      <c r="I13" s="83">
        <f>E13</f>
        <v>131.762</v>
      </c>
      <c r="J13" s="83">
        <f>G13</f>
        <v>453.35899999999998</v>
      </c>
      <c r="L13" s="47">
        <f t="shared" si="6"/>
        <v>321.59699999999998</v>
      </c>
      <c r="M13" s="29" t="str">
        <f t="shared" si="7"/>
        <v xml:space="preserve">n/a </v>
      </c>
      <c r="P13" s="29"/>
    </row>
    <row r="14" spans="1:16" s="7" customFormat="1" ht="12.75" x14ac:dyDescent="0.2">
      <c r="A14" s="8" t="s">
        <v>249</v>
      </c>
      <c r="B14" s="152">
        <v>53.393451382258945</v>
      </c>
      <c r="C14" s="152">
        <v>63.35234876618</v>
      </c>
      <c r="D14" s="152">
        <v>67.502322552257141</v>
      </c>
      <c r="E14" s="152">
        <v>123.29164901900762</v>
      </c>
      <c r="F14" s="152">
        <v>133.84655018307572</v>
      </c>
      <c r="G14" s="123">
        <v>191.58651287678327</v>
      </c>
      <c r="I14" s="123">
        <v>169.61266216168883</v>
      </c>
      <c r="J14" s="123">
        <v>229.9587887657602</v>
      </c>
      <c r="L14" s="47">
        <f t="shared" si="6"/>
        <v>60.346126604071372</v>
      </c>
      <c r="M14" s="29">
        <f t="shared" si="7"/>
        <v>0.35578786297537413</v>
      </c>
    </row>
    <row r="15" spans="1:16" s="7" customFormat="1" ht="12.75" x14ac:dyDescent="0.2">
      <c r="A15" s="8" t="s">
        <v>250</v>
      </c>
      <c r="B15" s="151">
        <f>SUM(FUMA!B9:C9)/1000</f>
        <v>0.38500000000000001</v>
      </c>
      <c r="C15" s="151">
        <f>SUM(FUMA!D9:E9)/1000</f>
        <v>0.44500000000000001</v>
      </c>
      <c r="D15" s="151">
        <f>SUM(FUMA!F9:G9)/1000</f>
        <v>0.46600000000000003</v>
      </c>
      <c r="E15" s="151">
        <f>SUM(FUMA!H9:I9)/1000</f>
        <v>-0.36799999999999999</v>
      </c>
      <c r="F15" s="151">
        <f>SUM(FUMA!J9:K9)/1000</f>
        <v>-3</v>
      </c>
      <c r="G15" s="83">
        <f>SUM(FUMA!L9:M9)/1000</f>
        <v>-1.048</v>
      </c>
      <c r="I15" s="82">
        <f t="shared" ref="I15" si="8">SUM(D15:E15)</f>
        <v>9.8000000000000032E-2</v>
      </c>
      <c r="J15" s="82">
        <f t="shared" ref="J15" si="9">SUM(F15:G15)</f>
        <v>-4.048</v>
      </c>
      <c r="L15" s="47">
        <f t="shared" si="6"/>
        <v>-4.1459999999999999</v>
      </c>
      <c r="M15" s="29" t="str">
        <f t="shared" si="7"/>
        <v xml:space="preserve">n/a </v>
      </c>
    </row>
    <row r="16" spans="1:16" s="7" customFormat="1" ht="12.75" x14ac:dyDescent="0.2">
      <c r="A16" s="6" t="s">
        <v>65</v>
      </c>
      <c r="B16" s="28"/>
      <c r="C16" s="28"/>
      <c r="D16" s="28"/>
      <c r="E16" s="28"/>
      <c r="F16" s="28"/>
      <c r="G16" s="28"/>
      <c r="I16" s="28"/>
      <c r="J16" s="28"/>
      <c r="M16" s="29"/>
    </row>
    <row r="17" spans="1:13" s="7" customFormat="1" ht="12.75" x14ac:dyDescent="0.2">
      <c r="A17" s="8" t="s">
        <v>66</v>
      </c>
      <c r="B17" s="83">
        <f>Ratios!B16</f>
        <v>28.472498660162493</v>
      </c>
      <c r="C17" s="83">
        <f>Ratios!C16</f>
        <v>28.012170944894716</v>
      </c>
      <c r="D17" s="83">
        <f>Ratios!D16</f>
        <v>17.527758091817354</v>
      </c>
      <c r="E17" s="83">
        <f>Ratios!E16</f>
        <v>19.264256711321231</v>
      </c>
      <c r="F17" s="83">
        <f>Ratios!F16</f>
        <v>12.401756074804048</v>
      </c>
      <c r="G17" s="83">
        <f>Ratios!G16</f>
        <v>12.627482979677698</v>
      </c>
      <c r="H17" s="83"/>
      <c r="I17" s="103">
        <f>Ratios!I16</f>
        <v>36.792351635689947</v>
      </c>
      <c r="J17" s="103">
        <f>Ratios!J16</f>
        <v>25.072244748818395</v>
      </c>
      <c r="L17" s="47">
        <f t="shared" si="6"/>
        <v>-11.720106886871552</v>
      </c>
      <c r="M17" s="29">
        <f t="shared" si="7"/>
        <v>-0.31854737101127867</v>
      </c>
    </row>
    <row r="18" spans="1:13" s="7" customFormat="1" ht="12.75" x14ac:dyDescent="0.2">
      <c r="A18" s="8" t="s">
        <v>67</v>
      </c>
      <c r="B18" s="83">
        <f>Ratios!B17</f>
        <v>26.38232925426373</v>
      </c>
      <c r="C18" s="83">
        <f>Ratios!C17</f>
        <v>25.915198513400512</v>
      </c>
      <c r="D18" s="83">
        <f>Ratios!D17</f>
        <v>16.142287518831669</v>
      </c>
      <c r="E18" s="83">
        <f>Ratios!E17</f>
        <v>19.287101889771812</v>
      </c>
      <c r="F18" s="83">
        <f>Ratios!F17</f>
        <v>12.401756074804048</v>
      </c>
      <c r="G18" s="83">
        <f>Ratios!G17</f>
        <v>12.627482979677698</v>
      </c>
      <c r="H18" s="83"/>
      <c r="I18" s="103">
        <f>Ratios!I17</f>
        <v>35.429969775017184</v>
      </c>
      <c r="J18" s="103">
        <f>Ratios!J17</f>
        <v>25.072244748818395</v>
      </c>
      <c r="L18" s="47">
        <f t="shared" si="6"/>
        <v>-10.357725026198789</v>
      </c>
      <c r="M18" s="29">
        <f t="shared" si="7"/>
        <v>-0.29234360322549174</v>
      </c>
    </row>
    <row r="19" spans="1:13" s="7" customFormat="1" ht="12.75" x14ac:dyDescent="0.2">
      <c r="A19" s="8" t="s">
        <v>59</v>
      </c>
      <c r="B19" s="83">
        <f>Ratios!B18</f>
        <v>38.617947131168229</v>
      </c>
      <c r="C19" s="83">
        <f>Ratios!C18</f>
        <v>-30.514889267613484</v>
      </c>
      <c r="D19" s="83">
        <f>Ratios!D18</f>
        <v>32.845936485044746</v>
      </c>
      <c r="E19" s="83">
        <f>Ratios!E18</f>
        <v>7.4872216724461662</v>
      </c>
      <c r="F19" s="83">
        <f>Ratios!F18</f>
        <v>10.24687505516674</v>
      </c>
      <c r="G19" s="83">
        <f>Ratios!G18</f>
        <v>-30.525110681685991</v>
      </c>
      <c r="H19" s="83"/>
      <c r="I19" s="103">
        <f>Ratios!I18</f>
        <v>40.328787993080361</v>
      </c>
      <c r="J19" s="103">
        <f>Ratios!J18</f>
        <v>-24.358914476863909</v>
      </c>
      <c r="L19" s="47">
        <f t="shared" si="6"/>
        <v>-64.68770246994427</v>
      </c>
      <c r="M19" s="29" t="str">
        <f t="shared" si="7"/>
        <v xml:space="preserve">n/a </v>
      </c>
    </row>
    <row r="20" spans="1:13" s="7" customFormat="1" ht="12.75" x14ac:dyDescent="0.2">
      <c r="A20" s="8" t="s">
        <v>60</v>
      </c>
      <c r="B20" s="83">
        <f>Ratios!B19</f>
        <v>38.521271049492199</v>
      </c>
      <c r="C20" s="83">
        <f>Ratios!C19</f>
        <v>-30.420714571324908</v>
      </c>
      <c r="D20" s="83">
        <f>Ratios!D19</f>
        <v>32.78125277159792</v>
      </c>
      <c r="E20" s="83">
        <f>Ratios!E19</f>
        <v>7.4684894633929622</v>
      </c>
      <c r="F20" s="83">
        <f>Ratios!F19</f>
        <v>10.230681099674651</v>
      </c>
      <c r="G20" s="83">
        <f>Ratios!G19</f>
        <v>-30.440645811748919</v>
      </c>
      <c r="H20" s="83"/>
      <c r="I20" s="103">
        <f>Ratios!I19</f>
        <v>40.238682967426165</v>
      </c>
      <c r="J20" s="103">
        <f>Ratios!J19</f>
        <v>-24.304754531333515</v>
      </c>
      <c r="L20" s="47">
        <f t="shared" si="6"/>
        <v>-64.543437498759687</v>
      </c>
      <c r="M20" s="29" t="str">
        <f t="shared" si="7"/>
        <v xml:space="preserve">n/a </v>
      </c>
    </row>
    <row r="21" spans="1:13" s="7" customFormat="1" ht="12.75" x14ac:dyDescent="0.2">
      <c r="A21" s="8" t="s">
        <v>61</v>
      </c>
      <c r="B21" s="83">
        <f>Ratios!B20</f>
        <v>19.854933288257552</v>
      </c>
      <c r="C21" s="83">
        <f>Ratios!C20</f>
        <v>-28.394537823540084</v>
      </c>
      <c r="D21" s="83">
        <f>Ratios!D20</f>
        <v>7.9428885117251475</v>
      </c>
      <c r="E21" s="83">
        <f>Ratios!E20</f>
        <v>7.1948033882787756</v>
      </c>
      <c r="F21" s="83">
        <f>Ratios!F20</f>
        <v>10.24687505516674</v>
      </c>
      <c r="G21" s="83">
        <f>Ratios!G20</f>
        <v>-30.525110681685991</v>
      </c>
      <c r="H21" s="83"/>
      <c r="I21" s="103">
        <f>Ratios!I20</f>
        <v>15.137576229697302</v>
      </c>
      <c r="J21" s="103">
        <f>Ratios!J20</f>
        <v>-24.358914476863909</v>
      </c>
      <c r="L21" s="47">
        <f t="shared" si="6"/>
        <v>-39.496490706561211</v>
      </c>
      <c r="M21" s="29" t="str">
        <f t="shared" si="7"/>
        <v xml:space="preserve">n/a </v>
      </c>
    </row>
    <row r="22" spans="1:13" s="7" customFormat="1" ht="12.75" x14ac:dyDescent="0.2">
      <c r="A22" s="6" t="s">
        <v>68</v>
      </c>
      <c r="B22" s="28"/>
      <c r="C22" s="28"/>
      <c r="D22" s="28"/>
      <c r="E22" s="28"/>
      <c r="F22" s="28"/>
      <c r="G22" s="28"/>
      <c r="I22" s="28"/>
      <c r="J22" s="28"/>
      <c r="M22" s="29"/>
    </row>
    <row r="23" spans="1:13" s="7" customFormat="1" ht="12.75" x14ac:dyDescent="0.2">
      <c r="A23" s="8" t="s">
        <v>291</v>
      </c>
      <c r="B23" s="28">
        <v>89.424999999999997</v>
      </c>
      <c r="C23" s="106">
        <v>42.228386884999978</v>
      </c>
      <c r="D23" s="106">
        <v>56.171999999999997</v>
      </c>
      <c r="E23" s="28">
        <v>64.948999999999998</v>
      </c>
      <c r="F23" s="106">
        <v>51.945999999999998</v>
      </c>
      <c r="G23" s="106">
        <v>61.7</v>
      </c>
      <c r="I23" s="82">
        <f t="shared" ref="I23:I26" si="10">SUM(D23:E23)</f>
        <v>121.121</v>
      </c>
      <c r="J23" s="82">
        <f t="shared" ref="J23:J26" si="11">SUM(F23:G23)</f>
        <v>113.646</v>
      </c>
      <c r="L23" s="47">
        <f t="shared" si="6"/>
        <v>-7.4749999999999943</v>
      </c>
      <c r="M23" s="29">
        <f t="shared" si="7"/>
        <v>-6.1715144359772413E-2</v>
      </c>
    </row>
    <row r="24" spans="1:13" s="7" customFormat="1" ht="12.75" x14ac:dyDescent="0.2">
      <c r="A24" s="8" t="s">
        <v>282</v>
      </c>
      <c r="B24" s="28">
        <v>25.5</v>
      </c>
      <c r="C24" s="106">
        <v>12</v>
      </c>
      <c r="D24" s="106">
        <v>16</v>
      </c>
      <c r="E24" s="28">
        <v>11.5</v>
      </c>
      <c r="F24" s="106">
        <v>8</v>
      </c>
      <c r="G24" s="106">
        <v>9.5</v>
      </c>
      <c r="I24" s="82">
        <f t="shared" si="10"/>
        <v>27.5</v>
      </c>
      <c r="J24" s="82">
        <f t="shared" si="11"/>
        <v>17.5</v>
      </c>
      <c r="L24" s="47">
        <f t="shared" si="6"/>
        <v>-10</v>
      </c>
      <c r="M24" s="29">
        <f t="shared" si="7"/>
        <v>-0.36363636363636365</v>
      </c>
    </row>
    <row r="25" spans="1:13" s="7" customFormat="1" ht="12.75" x14ac:dyDescent="0.2">
      <c r="A25" s="8" t="s">
        <v>292</v>
      </c>
      <c r="B25" s="28">
        <v>0</v>
      </c>
      <c r="C25" s="106">
        <v>0</v>
      </c>
      <c r="D25" s="106">
        <v>24.574999999999999</v>
      </c>
      <c r="E25" s="28">
        <v>0</v>
      </c>
      <c r="F25" s="106">
        <v>22.725999999999999</v>
      </c>
      <c r="G25" s="106">
        <v>13</v>
      </c>
      <c r="I25" s="82">
        <f t="shared" si="10"/>
        <v>24.574999999999999</v>
      </c>
      <c r="J25" s="82">
        <f t="shared" si="11"/>
        <v>35.725999999999999</v>
      </c>
      <c r="L25" s="47">
        <f t="shared" si="6"/>
        <v>11.151</v>
      </c>
      <c r="M25" s="29">
        <f t="shared" si="7"/>
        <v>0.45375381485249239</v>
      </c>
    </row>
    <row r="26" spans="1:13" s="7" customFormat="1" ht="12.75" x14ac:dyDescent="0.2">
      <c r="A26" s="8" t="s">
        <v>283</v>
      </c>
      <c r="B26" s="28">
        <v>0</v>
      </c>
      <c r="C26" s="106">
        <v>0</v>
      </c>
      <c r="D26" s="106">
        <v>7</v>
      </c>
      <c r="E26" s="28">
        <v>0</v>
      </c>
      <c r="F26" s="106">
        <v>3.5</v>
      </c>
      <c r="G26" s="106">
        <v>2</v>
      </c>
      <c r="I26" s="82">
        <f t="shared" si="10"/>
        <v>7</v>
      </c>
      <c r="J26" s="82">
        <f t="shared" si="11"/>
        <v>5.5</v>
      </c>
      <c r="L26" s="47">
        <f t="shared" si="6"/>
        <v>-1.5</v>
      </c>
      <c r="M26" s="29">
        <f t="shared" si="7"/>
        <v>-0.21428571428571427</v>
      </c>
    </row>
    <row r="27" spans="1:13" s="7" customFormat="1" ht="12.75" x14ac:dyDescent="0.2">
      <c r="A27" s="8" t="s">
        <v>229</v>
      </c>
      <c r="B27" s="29">
        <f t="shared" ref="B27:F27" si="12">B23/B7</f>
        <v>0.89559339008512806</v>
      </c>
      <c r="C27" s="29">
        <f t="shared" si="12"/>
        <v>0.43044510809956754</v>
      </c>
      <c r="D27" s="107">
        <f t="shared" si="12"/>
        <v>0.91548046974622987</v>
      </c>
      <c r="E27" s="29">
        <f t="shared" si="12"/>
        <v>0.96277494469497182</v>
      </c>
      <c r="F27" s="107">
        <f t="shared" si="12"/>
        <v>0.78873979304547714</v>
      </c>
      <c r="G27" s="107">
        <f>G23/G7</f>
        <v>0.7534201052649544</v>
      </c>
      <c r="I27" s="107">
        <f>I23/I7</f>
        <v>0.94024790428547744</v>
      </c>
      <c r="J27" s="107">
        <f>J23/J7</f>
        <v>0.76916354969120915</v>
      </c>
      <c r="K27" s="29"/>
      <c r="L27" s="29">
        <f t="shared" si="6"/>
        <v>-0.1710843545942683</v>
      </c>
      <c r="M27" s="29">
        <f t="shared" si="7"/>
        <v>-0.18195664549157428</v>
      </c>
    </row>
    <row r="28" spans="1:13" s="7" customFormat="1" ht="12.75" x14ac:dyDescent="0.2">
      <c r="A28" s="6" t="s">
        <v>69</v>
      </c>
      <c r="B28" s="28"/>
      <c r="C28" s="28"/>
      <c r="D28" s="28"/>
      <c r="E28" s="28"/>
      <c r="F28" s="28"/>
      <c r="G28" s="28"/>
      <c r="I28" s="28"/>
      <c r="J28" s="28"/>
      <c r="M28" s="29"/>
    </row>
    <row r="29" spans="1:13" s="7" customFormat="1" ht="12.75" x14ac:dyDescent="0.2">
      <c r="A29" s="8" t="s">
        <v>70</v>
      </c>
      <c r="B29" s="85">
        <v>8.99</v>
      </c>
      <c r="C29" s="85">
        <f>B30</f>
        <v>5.17</v>
      </c>
      <c r="D29" s="85">
        <f t="shared" ref="D29:F29" si="13">C30</f>
        <v>5.17</v>
      </c>
      <c r="E29" s="85">
        <f t="shared" si="13"/>
        <v>7.86</v>
      </c>
      <c r="F29" s="104">
        <f t="shared" si="13"/>
        <v>4.92</v>
      </c>
      <c r="G29" s="104">
        <f>F30</f>
        <v>3.52</v>
      </c>
      <c r="I29" s="85">
        <f>D29</f>
        <v>5.17</v>
      </c>
      <c r="J29" s="104">
        <f>F29</f>
        <v>4.92</v>
      </c>
      <c r="L29" s="86">
        <f t="shared" si="6"/>
        <v>-0.25</v>
      </c>
      <c r="M29" s="29">
        <f t="shared" si="7"/>
        <v>-4.8355899419729211E-2</v>
      </c>
    </row>
    <row r="30" spans="1:13" s="7" customFormat="1" ht="12.75" x14ac:dyDescent="0.2">
      <c r="A30" s="8" t="s">
        <v>71</v>
      </c>
      <c r="B30" s="85">
        <v>5.17</v>
      </c>
      <c r="C30" s="85">
        <v>5.17</v>
      </c>
      <c r="D30" s="85">
        <v>7.86</v>
      </c>
      <c r="E30" s="85">
        <v>4.92</v>
      </c>
      <c r="F30" s="85">
        <v>3.52</v>
      </c>
      <c r="G30" s="85">
        <v>4.2699999999999996</v>
      </c>
      <c r="I30" s="85">
        <f>E30</f>
        <v>4.92</v>
      </c>
      <c r="J30" s="85">
        <f>G30</f>
        <v>4.2699999999999996</v>
      </c>
      <c r="L30" s="86">
        <f t="shared" si="6"/>
        <v>-0.65000000000000036</v>
      </c>
      <c r="M30" s="29">
        <f t="shared" si="7"/>
        <v>-0.13211382113821146</v>
      </c>
    </row>
    <row r="31" spans="1:13" s="7" customFormat="1" ht="12.75" x14ac:dyDescent="0.2">
      <c r="A31" s="8" t="s">
        <v>139</v>
      </c>
      <c r="B31" s="84">
        <f>B30-B29+(B24+B26)/100</f>
        <v>-3.5650000000000004</v>
      </c>
      <c r="C31" s="84">
        <f t="shared" ref="C31:D31" si="14">C30-C29+(C24+C26)/100</f>
        <v>0.12</v>
      </c>
      <c r="D31" s="84">
        <f t="shared" si="14"/>
        <v>2.9200000000000004</v>
      </c>
      <c r="E31" s="84">
        <f>E30-E29+(E24+E26)/100</f>
        <v>-2.8250000000000002</v>
      </c>
      <c r="F31" s="84">
        <f>F30-F29+(F24+F26)/100</f>
        <v>-1.2849999999999999</v>
      </c>
      <c r="G31" s="84">
        <f>G30-G29+(G24+G26)/100</f>
        <v>0.86499999999999955</v>
      </c>
      <c r="I31" s="85">
        <f t="shared" ref="I31" si="15">SUM(D31:E31)</f>
        <v>9.5000000000000195E-2</v>
      </c>
      <c r="J31" s="104">
        <f>SUM(F31:G31)</f>
        <v>-0.42000000000000037</v>
      </c>
      <c r="L31" s="86">
        <f t="shared" si="6"/>
        <v>-0.51500000000000057</v>
      </c>
      <c r="M31" s="29" t="str">
        <f t="shared" si="7"/>
        <v xml:space="preserve">n/a </v>
      </c>
    </row>
    <row r="32" spans="1:13" s="7" customFormat="1" ht="12.75" x14ac:dyDescent="0.2">
      <c r="A32" s="8" t="s">
        <v>251</v>
      </c>
      <c r="B32" s="29">
        <f>B31/B29</f>
        <v>-0.39655172413793105</v>
      </c>
      <c r="C32" s="29">
        <f t="shared" ref="C32:D32" si="16">C31/C29</f>
        <v>2.321083172147002E-2</v>
      </c>
      <c r="D32" s="29">
        <f t="shared" si="16"/>
        <v>0.5647969052224372</v>
      </c>
      <c r="E32" s="29">
        <f>E31/E29</f>
        <v>-0.35941475826972014</v>
      </c>
      <c r="F32" s="107">
        <f>F31/F29</f>
        <v>-0.26117886178861788</v>
      </c>
      <c r="G32" s="107">
        <f>G31/G29</f>
        <v>0.24573863636363624</v>
      </c>
      <c r="I32" s="29">
        <f>I31/I29</f>
        <v>1.8375241779497137E-2</v>
      </c>
      <c r="J32" s="107">
        <f>J31/J29</f>
        <v>-8.5365853658536661E-2</v>
      </c>
      <c r="K32" s="29"/>
      <c r="L32" s="29">
        <f t="shared" si="6"/>
        <v>-0.1037410954380338</v>
      </c>
      <c r="M32" s="29" t="str">
        <f t="shared" si="7"/>
        <v xml:space="preserve">n/a </v>
      </c>
    </row>
    <row r="33" spans="1:13" s="7" customFormat="1" ht="12.75" x14ac:dyDescent="0.2">
      <c r="A33" s="6" t="s">
        <v>72</v>
      </c>
      <c r="B33" s="28"/>
      <c r="C33" s="28"/>
      <c r="D33" s="28"/>
      <c r="E33" s="28"/>
      <c r="F33" s="28"/>
      <c r="G33" s="28"/>
      <c r="I33" s="28"/>
      <c r="J33" s="28"/>
      <c r="M33" s="29"/>
    </row>
    <row r="34" spans="1:13" s="7" customFormat="1" ht="12.75" x14ac:dyDescent="0.2">
      <c r="A34" s="8" t="s">
        <v>73</v>
      </c>
      <c r="B34" s="29">
        <f>Ratios!B27</f>
        <v>0.51571697250697857</v>
      </c>
      <c r="C34" s="29">
        <f>Ratios!C27</f>
        <v>0.53475018961185361</v>
      </c>
      <c r="D34" s="29">
        <f>Ratios!D27</f>
        <v>0.62363360329390283</v>
      </c>
      <c r="E34" s="29">
        <f>Ratios!E27</f>
        <v>0.65524533698074361</v>
      </c>
      <c r="F34" s="29">
        <f>Ratios!F27</f>
        <v>0.68232045087709159</v>
      </c>
      <c r="G34" s="29">
        <f>Ratios!G27</f>
        <v>0.68350309617346849</v>
      </c>
      <c r="H34" s="29"/>
      <c r="I34" s="29">
        <f>Ratios!I27</f>
        <v>0.64140278467182443</v>
      </c>
      <c r="J34" s="29">
        <f>Ratios!J27</f>
        <v>0.68296409481318443</v>
      </c>
      <c r="L34" s="29">
        <f t="shared" si="6"/>
        <v>4.1561310141359997E-2</v>
      </c>
      <c r="M34" s="29">
        <f t="shared" si="7"/>
        <v>6.4797520582366916E-2</v>
      </c>
    </row>
    <row r="35" spans="1:13" s="7" customFormat="1" ht="12.75" x14ac:dyDescent="0.2">
      <c r="A35" s="8" t="s">
        <v>74</v>
      </c>
      <c r="B35" s="29">
        <f>Ratios!B32</f>
        <v>0.10873691605729963</v>
      </c>
      <c r="C35" s="29">
        <f>Ratios!C32</f>
        <v>0.10871901439015758</v>
      </c>
      <c r="D35" s="29">
        <f>Ratios!D32</f>
        <v>7.2090377434497463E-2</v>
      </c>
      <c r="E35" s="29">
        <f>Ratios!E32</f>
        <v>7.8625796409295942E-2</v>
      </c>
      <c r="F35" s="29">
        <f>Ratios!F32</f>
        <v>5.6594113111126616E-2</v>
      </c>
      <c r="G35" s="29">
        <f>Ratios!G32</f>
        <v>6.0536003541870977E-2</v>
      </c>
      <c r="H35" s="29"/>
      <c r="I35" s="29">
        <f>Ratios!I32</f>
        <v>7.5430580322246171E-2</v>
      </c>
      <c r="J35" s="29">
        <f>Ratios!J32</f>
        <v>5.9168512857271142E-2</v>
      </c>
      <c r="L35" s="29">
        <f t="shared" si="6"/>
        <v>-1.6262067464975029E-2</v>
      </c>
      <c r="M35" s="29">
        <f t="shared" si="7"/>
        <v>-0.21558984957429767</v>
      </c>
    </row>
    <row r="36" spans="1:13" s="7" customFormat="1" ht="12.75" x14ac:dyDescent="0.2">
      <c r="A36" s="8"/>
    </row>
    <row r="37" spans="1:13" s="7" customFormat="1" ht="18" x14ac:dyDescent="0.25">
      <c r="A37" s="4" t="s">
        <v>275</v>
      </c>
      <c r="B37" s="5"/>
      <c r="C37" s="5"/>
      <c r="D37" s="5"/>
      <c r="E37" s="5"/>
      <c r="F37" s="5"/>
      <c r="G37" s="5"/>
      <c r="H37" s="5"/>
      <c r="I37" s="5"/>
      <c r="J37" s="5"/>
      <c r="K37" s="5"/>
      <c r="L37" s="5"/>
      <c r="M37" s="5"/>
    </row>
    <row r="38" spans="1:13" s="7" customFormat="1" ht="12.75" x14ac:dyDescent="0.2">
      <c r="A38" s="27" t="s">
        <v>360</v>
      </c>
    </row>
    <row r="39" spans="1:13" s="7" customFormat="1" ht="12.75" x14ac:dyDescent="0.2">
      <c r="A39" s="8"/>
      <c r="B39" s="9" t="s">
        <v>49</v>
      </c>
      <c r="C39" s="9" t="s">
        <v>50</v>
      </c>
      <c r="D39" s="9" t="s">
        <v>51</v>
      </c>
      <c r="E39" s="9" t="s">
        <v>52</v>
      </c>
      <c r="F39" s="9" t="s">
        <v>53</v>
      </c>
      <c r="G39" s="9" t="s">
        <v>308</v>
      </c>
      <c r="I39" s="11" t="s">
        <v>305</v>
      </c>
      <c r="J39" s="11" t="s">
        <v>306</v>
      </c>
      <c r="K39" s="6"/>
      <c r="L39" s="11" t="s">
        <v>307</v>
      </c>
      <c r="M39" s="12"/>
    </row>
    <row r="40" spans="1:13" s="7" customFormat="1" ht="13.5" thickBot="1" x14ac:dyDescent="0.25">
      <c r="A40" s="8"/>
      <c r="B40" s="10" t="s">
        <v>54</v>
      </c>
      <c r="C40" s="10" t="s">
        <v>54</v>
      </c>
      <c r="D40" s="10" t="s">
        <v>54</v>
      </c>
      <c r="E40" s="10" t="s">
        <v>54</v>
      </c>
      <c r="F40" s="10" t="s">
        <v>54</v>
      </c>
      <c r="G40" s="10" t="s">
        <v>54</v>
      </c>
      <c r="I40" s="10" t="s">
        <v>54</v>
      </c>
      <c r="J40" s="10" t="s">
        <v>54</v>
      </c>
      <c r="K40" s="6"/>
      <c r="L40" s="10" t="s">
        <v>54</v>
      </c>
      <c r="M40" s="10" t="s">
        <v>55</v>
      </c>
    </row>
    <row r="41" spans="1:13" s="7" customFormat="1" ht="12.75" x14ac:dyDescent="0.2">
      <c r="A41" s="8" t="s">
        <v>140</v>
      </c>
      <c r="B41" s="47">
        <f>SUM(B58:B59)</f>
        <v>463.03000000000003</v>
      </c>
      <c r="C41" s="47">
        <f t="shared" ref="C41:F41" si="17">SUM(C58:C59)</f>
        <v>502.04</v>
      </c>
      <c r="D41" s="160">
        <f t="shared" si="17"/>
        <v>481.35555862000007</v>
      </c>
      <c r="E41" s="160">
        <f t="shared" si="17"/>
        <v>572.07486139000002</v>
      </c>
      <c r="F41" s="160">
        <f t="shared" si="17"/>
        <v>596.06800024000017</v>
      </c>
      <c r="G41" s="47">
        <f t="shared" ref="G41" si="18">SUM(G58:G59)</f>
        <v>661.20572589000005</v>
      </c>
      <c r="I41" s="47">
        <f t="shared" ref="I41:J41" si="19">SUM(I58:I59)</f>
        <v>1053.43042001</v>
      </c>
      <c r="J41" s="47">
        <f t="shared" si="19"/>
        <v>1257.2737261300001</v>
      </c>
      <c r="L41" s="47">
        <f>J41-I41</f>
        <v>203.84330612000008</v>
      </c>
      <c r="M41" s="35">
        <f t="shared" ref="M41:M107" si="20">+IF(I41&lt;&gt;0,IF(ABS((L41)/I41)&gt;1,"n/a ",(L41)/I41*SIGN(I41)),"n/a ")</f>
        <v>0.19350429059953009</v>
      </c>
    </row>
    <row r="42" spans="1:13" s="7" customFormat="1" ht="12.75" x14ac:dyDescent="0.2">
      <c r="A42" s="8" t="s">
        <v>141</v>
      </c>
      <c r="B42" s="48">
        <f>SUM(B60:B62)</f>
        <v>-208.98</v>
      </c>
      <c r="C42" s="48">
        <f t="shared" ref="C42:F42" si="21">SUM(C60:C62)</f>
        <v>-259.3</v>
      </c>
      <c r="D42" s="162">
        <f t="shared" si="21"/>
        <v>-233.02761396000002</v>
      </c>
      <c r="E42" s="162">
        <f t="shared" si="21"/>
        <v>-242.81465133999998</v>
      </c>
      <c r="F42" s="162">
        <f t="shared" si="21"/>
        <v>-246.76351089000002</v>
      </c>
      <c r="G42" s="48">
        <f t="shared" ref="G42" si="22">SUM(G60:G62)</f>
        <v>-247.81947589999996</v>
      </c>
      <c r="I42" s="48">
        <f t="shared" ref="I42:J42" si="23">SUM(I60:I62)</f>
        <v>-475.84226529999995</v>
      </c>
      <c r="J42" s="48">
        <f t="shared" si="23"/>
        <v>-494.58298679000001</v>
      </c>
      <c r="L42" s="48">
        <f t="shared" ref="L42:L43" si="24">F42-D42</f>
        <v>-13.735896929999996</v>
      </c>
      <c r="M42" s="36">
        <f t="shared" si="20"/>
        <v>-2.8866491969434555E-2</v>
      </c>
    </row>
    <row r="43" spans="1:13" s="7" customFormat="1" ht="12.75" x14ac:dyDescent="0.2">
      <c r="A43" s="6" t="s">
        <v>1</v>
      </c>
      <c r="B43" s="50">
        <f>SUM(B41:B42)</f>
        <v>254.05000000000004</v>
      </c>
      <c r="C43" s="50">
        <f t="shared" ref="C43:J43" si="25">SUM(C41:C42)</f>
        <v>242.74</v>
      </c>
      <c r="D43" s="50">
        <f t="shared" si="25"/>
        <v>248.32794466000004</v>
      </c>
      <c r="E43" s="50">
        <f t="shared" si="25"/>
        <v>329.26021005000007</v>
      </c>
      <c r="F43" s="50">
        <f t="shared" si="25"/>
        <v>349.30448935000015</v>
      </c>
      <c r="G43" s="50">
        <f t="shared" si="25"/>
        <v>413.38624999000012</v>
      </c>
      <c r="I43" s="50">
        <f t="shared" si="25"/>
        <v>577.58815471000003</v>
      </c>
      <c r="J43" s="50">
        <f t="shared" si="25"/>
        <v>762.69073934000016</v>
      </c>
      <c r="K43" s="6"/>
      <c r="L43" s="50">
        <f t="shared" si="24"/>
        <v>100.97654469000011</v>
      </c>
      <c r="M43" s="37">
        <f t="shared" si="20"/>
        <v>0.17482447288189143</v>
      </c>
    </row>
    <row r="44" spans="1:13" s="7" customFormat="1" ht="12.75" x14ac:dyDescent="0.2">
      <c r="A44" s="8"/>
      <c r="B44" s="47"/>
      <c r="C44" s="47"/>
      <c r="D44" s="47"/>
      <c r="E44" s="47"/>
      <c r="F44" s="47"/>
      <c r="G44" s="47"/>
      <c r="I44" s="47"/>
      <c r="J44" s="35"/>
      <c r="L44" s="47"/>
      <c r="M44" s="35"/>
    </row>
    <row r="45" spans="1:13" s="7" customFormat="1" ht="12.75" x14ac:dyDescent="0.2">
      <c r="A45" s="8" t="s">
        <v>8</v>
      </c>
      <c r="B45" s="47">
        <f>B70</f>
        <v>6.61</v>
      </c>
      <c r="C45" s="47">
        <f t="shared" ref="C45:F45" si="26">C70</f>
        <v>8.629999999999999</v>
      </c>
      <c r="D45" s="47">
        <f t="shared" si="26"/>
        <v>5.98</v>
      </c>
      <c r="E45" s="47">
        <f t="shared" si="26"/>
        <v>5.35</v>
      </c>
      <c r="F45" s="102">
        <f t="shared" si="26"/>
        <v>2.04</v>
      </c>
      <c r="G45" s="102">
        <f t="shared" ref="G45" si="27">G70</f>
        <v>6.083346879999997</v>
      </c>
      <c r="I45" s="47">
        <f t="shared" ref="I45:J45" si="28">I70</f>
        <v>11.33</v>
      </c>
      <c r="J45" s="102">
        <f t="shared" si="28"/>
        <v>8.1233468799999979</v>
      </c>
      <c r="L45" s="47">
        <f t="shared" ref="L45" si="29">F45-D45</f>
        <v>-3.9400000000000004</v>
      </c>
      <c r="M45" s="29">
        <f t="shared" si="20"/>
        <v>-0.34774933804060021</v>
      </c>
    </row>
    <row r="46" spans="1:13" s="7" customFormat="1" ht="12.75" x14ac:dyDescent="0.2">
      <c r="A46" s="8" t="s">
        <v>142</v>
      </c>
      <c r="B46" s="47">
        <f>B73</f>
        <v>0.02</v>
      </c>
      <c r="C46" s="47">
        <f t="shared" ref="C46:F46" si="30">C73</f>
        <v>0.01</v>
      </c>
      <c r="D46" s="47">
        <f t="shared" si="30"/>
        <v>-0.11</v>
      </c>
      <c r="E46" s="47">
        <f t="shared" si="30"/>
        <v>-0.37</v>
      </c>
      <c r="F46" s="102">
        <f t="shared" si="30"/>
        <v>-0.67</v>
      </c>
      <c r="G46" s="102">
        <f t="shared" ref="G46" si="31">G73</f>
        <v>-0.28999999999999998</v>
      </c>
      <c r="I46" s="47">
        <f t="shared" ref="I46:J46" si="32">I73</f>
        <v>-0.48</v>
      </c>
      <c r="J46" s="102">
        <f t="shared" si="32"/>
        <v>-0.96</v>
      </c>
      <c r="L46" s="47">
        <f t="shared" ref="L46:L49" si="33">F46-D46</f>
        <v>-0.56000000000000005</v>
      </c>
      <c r="M46" s="29" t="str">
        <f t="shared" si="20"/>
        <v xml:space="preserve">n/a </v>
      </c>
    </row>
    <row r="47" spans="1:13" s="7" customFormat="1" ht="12.75" x14ac:dyDescent="0.2">
      <c r="A47" s="8" t="s">
        <v>18</v>
      </c>
      <c r="B47" s="47">
        <f>B86</f>
        <v>-149.28000000000006</v>
      </c>
      <c r="C47" s="47">
        <f t="shared" ref="C47:F47" si="34">C86</f>
        <v>-157.61000000000001</v>
      </c>
      <c r="D47" s="47">
        <f t="shared" si="34"/>
        <v>-163.65</v>
      </c>
      <c r="E47" s="47">
        <f t="shared" si="34"/>
        <v>-220.71999999999997</v>
      </c>
      <c r="F47" s="102">
        <f t="shared" si="34"/>
        <v>-239.74999999999997</v>
      </c>
      <c r="G47" s="102">
        <f t="shared" ref="G47" si="35">G86</f>
        <v>-286.79167103999998</v>
      </c>
      <c r="I47" s="47">
        <f t="shared" ref="I47:J47" si="36">I86</f>
        <v>-384.36999999999995</v>
      </c>
      <c r="J47" s="102">
        <f t="shared" si="36"/>
        <v>-526.54167103999998</v>
      </c>
      <c r="L47" s="47">
        <f t="shared" si="33"/>
        <v>-76.099999999999966</v>
      </c>
      <c r="M47" s="29">
        <f t="shared" si="20"/>
        <v>-0.19798631526914165</v>
      </c>
    </row>
    <row r="48" spans="1:13" s="7" customFormat="1" ht="12.75" x14ac:dyDescent="0.2">
      <c r="A48" s="8" t="s">
        <v>143</v>
      </c>
      <c r="B48" s="47">
        <f>B91</f>
        <v>-8.85</v>
      </c>
      <c r="C48" s="47">
        <f t="shared" ref="C48:F48" si="37">C91</f>
        <v>-5.01</v>
      </c>
      <c r="D48" s="47">
        <f t="shared" si="37"/>
        <v>-12.35</v>
      </c>
      <c r="E48" s="47">
        <f t="shared" si="37"/>
        <v>-14.6</v>
      </c>
      <c r="F48" s="102">
        <f t="shared" si="37"/>
        <v>-14.87</v>
      </c>
      <c r="G48" s="102">
        <f t="shared" ref="G48" si="38">G91</f>
        <v>-17.170719090000002</v>
      </c>
      <c r="I48" s="47">
        <f t="shared" ref="I48:J48" si="39">I91</f>
        <v>-26.95</v>
      </c>
      <c r="J48" s="102">
        <f t="shared" si="39"/>
        <v>-32.040719089999996</v>
      </c>
      <c r="L48" s="47">
        <f t="shared" si="33"/>
        <v>-2.5199999999999996</v>
      </c>
      <c r="M48" s="29">
        <f t="shared" si="20"/>
        <v>-9.3506493506493496E-2</v>
      </c>
    </row>
    <row r="49" spans="1:13" s="7" customFormat="1" ht="12.75" x14ac:dyDescent="0.2">
      <c r="A49" s="8" t="s">
        <v>34</v>
      </c>
      <c r="B49" s="47">
        <f>B97</f>
        <v>27.68</v>
      </c>
      <c r="C49" s="47">
        <f t="shared" ref="C49:F49" si="40">C97</f>
        <v>36.5</v>
      </c>
      <c r="D49" s="47">
        <f t="shared" si="40"/>
        <v>0.95000000000000018</v>
      </c>
      <c r="E49" s="47">
        <f t="shared" si="40"/>
        <v>-3.9400000000000004</v>
      </c>
      <c r="F49" s="102">
        <f t="shared" si="40"/>
        <v>-3.4489999999999998</v>
      </c>
      <c r="G49" s="102">
        <f t="shared" ref="G49" si="41">G97</f>
        <v>-3.75285899</v>
      </c>
      <c r="I49" s="47">
        <f t="shared" ref="I49:J49" si="42">I97</f>
        <v>-2.99</v>
      </c>
      <c r="J49" s="102">
        <f t="shared" si="42"/>
        <v>-7.201858989999999</v>
      </c>
      <c r="L49" s="47">
        <f t="shared" si="33"/>
        <v>-4.399</v>
      </c>
      <c r="M49" s="29" t="str">
        <f t="shared" si="20"/>
        <v xml:space="preserve">n/a </v>
      </c>
    </row>
    <row r="50" spans="1:13" s="7" customFormat="1" ht="12.75" x14ac:dyDescent="0.2">
      <c r="A50" s="8" t="s">
        <v>145</v>
      </c>
      <c r="B50" s="47">
        <f>B101</f>
        <v>-37.71</v>
      </c>
      <c r="C50" s="47">
        <f t="shared" ref="C50:F50" si="43">C101</f>
        <v>-34.5</v>
      </c>
      <c r="D50" s="47">
        <f t="shared" si="43"/>
        <v>-22.639999999999997</v>
      </c>
      <c r="E50" s="47">
        <f t="shared" si="43"/>
        <v>-27.44</v>
      </c>
      <c r="F50" s="47">
        <f t="shared" si="43"/>
        <v>-26.746000000000002</v>
      </c>
      <c r="G50" s="47">
        <f t="shared" ref="G50" si="44">G101</f>
        <v>-29.571125669999994</v>
      </c>
      <c r="I50" s="47">
        <f t="shared" ref="I50:J50" si="45">I101</f>
        <v>-50.08</v>
      </c>
      <c r="J50" s="47">
        <f t="shared" si="45"/>
        <v>-56.317125669999996</v>
      </c>
      <c r="L50" s="47">
        <f t="shared" ref="L50:L51" si="46">F50-D50</f>
        <v>-4.1060000000000052</v>
      </c>
      <c r="M50" s="29">
        <f t="shared" si="20"/>
        <v>-8.1988817891373911E-2</v>
      </c>
    </row>
    <row r="51" spans="1:13" s="7" customFormat="1" ht="13.5" thickBot="1" x14ac:dyDescent="0.25">
      <c r="A51" s="6" t="s">
        <v>144</v>
      </c>
      <c r="B51" s="51">
        <f>SUM(B43:B50)</f>
        <v>92.519999999999953</v>
      </c>
      <c r="C51" s="51">
        <f t="shared" ref="C51:J51" si="47">SUM(C43:C50)</f>
        <v>90.759999999999977</v>
      </c>
      <c r="D51" s="51">
        <f t="shared" si="47"/>
        <v>56.507944660000021</v>
      </c>
      <c r="E51" s="51">
        <f t="shared" si="47"/>
        <v>67.540210050000127</v>
      </c>
      <c r="F51" s="51">
        <f t="shared" si="47"/>
        <v>65.859489350000189</v>
      </c>
      <c r="G51" s="51">
        <f t="shared" si="47"/>
        <v>81.893222080000157</v>
      </c>
      <c r="I51" s="51">
        <f t="shared" si="47"/>
        <v>124.04815471000011</v>
      </c>
      <c r="J51" s="51">
        <f t="shared" si="47"/>
        <v>147.75271143000015</v>
      </c>
      <c r="K51" s="6"/>
      <c r="L51" s="51">
        <f t="shared" si="46"/>
        <v>9.3515446900001677</v>
      </c>
      <c r="M51" s="38">
        <f t="shared" si="20"/>
        <v>7.5386407092166888E-2</v>
      </c>
    </row>
    <row r="52" spans="1:13" s="7" customFormat="1" ht="12.75" x14ac:dyDescent="0.2"/>
    <row r="53" spans="1:13" ht="18" x14ac:dyDescent="0.25">
      <c r="A53" s="4" t="s">
        <v>76</v>
      </c>
      <c r="B53" s="5"/>
      <c r="C53" s="5"/>
      <c r="D53" s="5"/>
      <c r="E53" s="5"/>
      <c r="F53" s="5"/>
      <c r="G53" s="5"/>
      <c r="H53" s="5"/>
      <c r="I53" s="5"/>
      <c r="J53" s="5"/>
      <c r="K53" s="5"/>
      <c r="L53" s="5"/>
      <c r="M53" s="5"/>
    </row>
    <row r="54" spans="1:13" x14ac:dyDescent="0.2">
      <c r="A54" s="27" t="s">
        <v>360</v>
      </c>
    </row>
    <row r="55" spans="1:13" s="7" customFormat="1" ht="12.75" x14ac:dyDescent="0.2">
      <c r="B55" s="9" t="s">
        <v>49</v>
      </c>
      <c r="C55" s="9" t="s">
        <v>50</v>
      </c>
      <c r="D55" s="9" t="s">
        <v>51</v>
      </c>
      <c r="E55" s="9" t="s">
        <v>52</v>
      </c>
      <c r="F55" s="9" t="s">
        <v>53</v>
      </c>
      <c r="G55" s="9" t="s">
        <v>308</v>
      </c>
      <c r="I55" s="11" t="s">
        <v>305</v>
      </c>
      <c r="J55" s="11" t="s">
        <v>306</v>
      </c>
      <c r="K55" s="6"/>
      <c r="L55" s="11" t="s">
        <v>307</v>
      </c>
      <c r="M55" s="12"/>
    </row>
    <row r="56" spans="1:13" s="7" customFormat="1" ht="13.5" thickBot="1" x14ac:dyDescent="0.25">
      <c r="B56" s="10" t="s">
        <v>54</v>
      </c>
      <c r="C56" s="10" t="s">
        <v>54</v>
      </c>
      <c r="D56" s="10" t="s">
        <v>54</v>
      </c>
      <c r="E56" s="10" t="s">
        <v>54</v>
      </c>
      <c r="F56" s="10" t="s">
        <v>54</v>
      </c>
      <c r="G56" s="10" t="s">
        <v>54</v>
      </c>
      <c r="I56" s="10" t="s">
        <v>54</v>
      </c>
      <c r="J56" s="10" t="s">
        <v>54</v>
      </c>
      <c r="K56" s="6"/>
      <c r="L56" s="10" t="s">
        <v>54</v>
      </c>
      <c r="M56" s="10" t="s">
        <v>54</v>
      </c>
    </row>
    <row r="57" spans="1:13" s="7" customFormat="1" ht="12.75" x14ac:dyDescent="0.2">
      <c r="A57" s="6" t="s">
        <v>1</v>
      </c>
    </row>
    <row r="58" spans="1:13" s="7" customFormat="1" ht="12.75" x14ac:dyDescent="0.2">
      <c r="A58" s="8" t="s">
        <v>2</v>
      </c>
      <c r="B58" s="47">
        <v>445.61</v>
      </c>
      <c r="C58" s="47">
        <v>480.94</v>
      </c>
      <c r="D58" s="160">
        <v>458.23555862000006</v>
      </c>
      <c r="E58" s="160">
        <v>543.86486138999999</v>
      </c>
      <c r="F58" s="160">
        <v>570.31800024000017</v>
      </c>
      <c r="G58" s="47">
        <v>637.48063185000001</v>
      </c>
      <c r="H58" s="47"/>
      <c r="I58" s="47">
        <f>SUM(D58:E58)</f>
        <v>1002.1004200100001</v>
      </c>
      <c r="J58" s="47">
        <f>SUM(F58:G58)</f>
        <v>1207.7986320900002</v>
      </c>
      <c r="L58" s="47">
        <f>J58-I58</f>
        <v>205.69821208000008</v>
      </c>
      <c r="M58" s="29">
        <f t="shared" si="20"/>
        <v>0.20526706502921871</v>
      </c>
    </row>
    <row r="59" spans="1:13" s="7" customFormat="1" ht="12.75" x14ac:dyDescent="0.2">
      <c r="A59" s="8" t="s">
        <v>3</v>
      </c>
      <c r="B59" s="47">
        <v>17.420000000000002</v>
      </c>
      <c r="C59" s="47">
        <v>21.1</v>
      </c>
      <c r="D59" s="47">
        <v>23.12</v>
      </c>
      <c r="E59" s="47">
        <v>28.21</v>
      </c>
      <c r="F59" s="47">
        <v>25.75</v>
      </c>
      <c r="G59" s="47">
        <v>23.725094040000016</v>
      </c>
      <c r="H59" s="47"/>
      <c r="I59" s="47">
        <f t="shared" ref="I59:I62" si="48">SUM(D59:E59)</f>
        <v>51.33</v>
      </c>
      <c r="J59" s="47">
        <f t="shared" ref="J59:J62" si="49">SUM(F59:G59)</f>
        <v>49.475094040000016</v>
      </c>
      <c r="L59" s="47">
        <f t="shared" ref="L59:L107" si="50">J59-I59</f>
        <v>-1.8549059599999822</v>
      </c>
      <c r="M59" s="29">
        <f t="shared" si="20"/>
        <v>-3.6136878238846336E-2</v>
      </c>
    </row>
    <row r="60" spans="1:13" s="7" customFormat="1" ht="12.75" x14ac:dyDescent="0.2">
      <c r="A60" s="8" t="s">
        <v>4</v>
      </c>
      <c r="B60" s="47">
        <v>-196.51</v>
      </c>
      <c r="C60" s="47">
        <v>-246.29</v>
      </c>
      <c r="D60" s="160">
        <v>-218.99761396000002</v>
      </c>
      <c r="E60" s="160">
        <v>-220.62465133999999</v>
      </c>
      <c r="F60" s="160">
        <v>-224.89351089000002</v>
      </c>
      <c r="G60" s="47">
        <v>-219.74736337999997</v>
      </c>
      <c r="H60" s="47"/>
      <c r="I60" s="47">
        <f t="shared" si="48"/>
        <v>-439.62226529999998</v>
      </c>
      <c r="J60" s="47">
        <f t="shared" si="49"/>
        <v>-444.64087426999998</v>
      </c>
      <c r="L60" s="47">
        <f t="shared" si="50"/>
        <v>-5.0186089700000025</v>
      </c>
      <c r="M60" s="29">
        <f t="shared" si="20"/>
        <v>-1.1415729743750089E-2</v>
      </c>
    </row>
    <row r="61" spans="1:13" s="7" customFormat="1" ht="12.75" x14ac:dyDescent="0.2">
      <c r="A61" s="8" t="s">
        <v>5</v>
      </c>
      <c r="B61" s="47">
        <v>-12.39</v>
      </c>
      <c r="C61" s="47">
        <v>-12.91</v>
      </c>
      <c r="D61" s="47">
        <v>-13.99</v>
      </c>
      <c r="E61" s="47">
        <v>-22.16</v>
      </c>
      <c r="F61" s="47">
        <v>-21.84</v>
      </c>
      <c r="G61" s="47">
        <v>-27.950821439999995</v>
      </c>
      <c r="H61" s="47"/>
      <c r="I61" s="47">
        <f t="shared" si="48"/>
        <v>-36.15</v>
      </c>
      <c r="J61" s="47">
        <f t="shared" si="49"/>
        <v>-49.790821439999995</v>
      </c>
      <c r="L61" s="47">
        <f t="shared" si="50"/>
        <v>-13.640821439999996</v>
      </c>
      <c r="M61" s="29">
        <f t="shared" si="20"/>
        <v>-0.37733945892116172</v>
      </c>
    </row>
    <row r="62" spans="1:13" s="7" customFormat="1" ht="12.75" x14ac:dyDescent="0.2">
      <c r="A62" s="8" t="s">
        <v>6</v>
      </c>
      <c r="B62" s="48">
        <v>-0.08</v>
      </c>
      <c r="C62" s="48">
        <v>-0.1</v>
      </c>
      <c r="D62" s="48">
        <v>-0.04</v>
      </c>
      <c r="E62" s="48">
        <v>-0.03</v>
      </c>
      <c r="F62" s="48">
        <v>-0.03</v>
      </c>
      <c r="G62" s="48">
        <v>-0.12129108</v>
      </c>
      <c r="H62" s="47"/>
      <c r="I62" s="48">
        <f t="shared" si="48"/>
        <v>-7.0000000000000007E-2</v>
      </c>
      <c r="J62" s="48">
        <f t="shared" si="49"/>
        <v>-0.15129107999999999</v>
      </c>
      <c r="L62" s="48">
        <f t="shared" si="50"/>
        <v>-8.1291079999999988E-2</v>
      </c>
      <c r="M62" s="30" t="str">
        <f t="shared" si="20"/>
        <v xml:space="preserve">n/a </v>
      </c>
    </row>
    <row r="63" spans="1:13" s="7" customFormat="1" ht="12.75" x14ac:dyDescent="0.2">
      <c r="A63" s="6" t="s">
        <v>7</v>
      </c>
      <c r="B63" s="50">
        <f>SUM(B58:B62)</f>
        <v>254.05000000000004</v>
      </c>
      <c r="C63" s="50">
        <f t="shared" ref="C63:J63" si="51">SUM(C58:C62)</f>
        <v>242.74000000000004</v>
      </c>
      <c r="D63" s="50">
        <f t="shared" si="51"/>
        <v>248.32794466000004</v>
      </c>
      <c r="E63" s="50">
        <f t="shared" si="51"/>
        <v>329.26021005000001</v>
      </c>
      <c r="F63" s="50">
        <f t="shared" si="51"/>
        <v>349.30448935000021</v>
      </c>
      <c r="G63" s="50">
        <f t="shared" si="51"/>
        <v>413.38624999000012</v>
      </c>
      <c r="H63" s="47"/>
      <c r="I63" s="50">
        <f t="shared" si="51"/>
        <v>577.58815471000003</v>
      </c>
      <c r="J63" s="50">
        <f t="shared" si="51"/>
        <v>762.69073934000016</v>
      </c>
      <c r="K63" s="6"/>
      <c r="L63" s="50">
        <f t="shared" si="50"/>
        <v>185.10258463000014</v>
      </c>
      <c r="M63" s="31">
        <f t="shared" si="20"/>
        <v>0.32047503592406235</v>
      </c>
    </row>
    <row r="64" spans="1:13" s="7" customFormat="1" ht="12.75" x14ac:dyDescent="0.2">
      <c r="A64" s="6" t="s">
        <v>8</v>
      </c>
      <c r="B64" s="47"/>
      <c r="C64" s="47"/>
      <c r="D64" s="47"/>
      <c r="E64" s="47"/>
      <c r="F64" s="47"/>
      <c r="G64" s="47"/>
      <c r="H64" s="47"/>
      <c r="I64" s="47"/>
      <c r="J64" s="47"/>
      <c r="L64" s="47"/>
      <c r="M64" s="29"/>
    </row>
    <row r="65" spans="1:13" s="7" customFormat="1" ht="12.75" x14ac:dyDescent="0.2">
      <c r="A65" s="8" t="s">
        <v>9</v>
      </c>
      <c r="B65" s="47">
        <v>2.27</v>
      </c>
      <c r="C65" s="47">
        <v>2.2799999999999998</v>
      </c>
      <c r="D65" s="47">
        <v>1.68</v>
      </c>
      <c r="E65" s="47">
        <v>1.63</v>
      </c>
      <c r="F65" s="47">
        <v>1.65</v>
      </c>
      <c r="G65" s="47">
        <v>1.65263563</v>
      </c>
      <c r="H65" s="47"/>
      <c r="I65" s="47">
        <f t="shared" ref="I65" si="52">SUM(D65:E65)</f>
        <v>3.3099999999999996</v>
      </c>
      <c r="J65" s="47">
        <f t="shared" ref="J65" si="53">SUM(F65:G65)</f>
        <v>3.3026356300000002</v>
      </c>
      <c r="L65" s="47">
        <f t="shared" si="50"/>
        <v>-7.3643699999994539E-3</v>
      </c>
      <c r="M65" s="29">
        <f t="shared" si="20"/>
        <v>-2.2248851963744577E-3</v>
      </c>
    </row>
    <row r="66" spans="1:13" s="7" customFormat="1" ht="12.75" x14ac:dyDescent="0.2">
      <c r="A66" s="8" t="s">
        <v>10</v>
      </c>
      <c r="B66" s="47">
        <v>-0.62</v>
      </c>
      <c r="C66" s="47">
        <v>-0.66</v>
      </c>
      <c r="D66" s="47">
        <v>-0.66</v>
      </c>
      <c r="E66" s="47">
        <v>-0.57999999999999996</v>
      </c>
      <c r="F66" s="47">
        <v>-0.54</v>
      </c>
      <c r="G66" s="47">
        <v>-0.48837234999999996</v>
      </c>
      <c r="H66" s="47"/>
      <c r="I66" s="47">
        <f t="shared" ref="I66:I69" si="54">SUM(D66:E66)</f>
        <v>-1.24</v>
      </c>
      <c r="J66" s="47">
        <f t="shared" ref="J66:J69" si="55">SUM(F66:G66)</f>
        <v>-1.0283723499999999</v>
      </c>
      <c r="L66" s="47">
        <f t="shared" si="50"/>
        <v>0.21162765000000006</v>
      </c>
      <c r="M66" s="29">
        <f t="shared" si="20"/>
        <v>0.17066745967741939</v>
      </c>
    </row>
    <row r="67" spans="1:13" s="7" customFormat="1" ht="12.75" x14ac:dyDescent="0.2">
      <c r="A67" s="8" t="s">
        <v>11</v>
      </c>
      <c r="B67" s="47">
        <v>0.68</v>
      </c>
      <c r="C67" s="47">
        <v>0.57999999999999996</v>
      </c>
      <c r="D67" s="47">
        <v>0.79</v>
      </c>
      <c r="E67" s="47">
        <v>0.63</v>
      </c>
      <c r="F67" s="47">
        <v>0.25</v>
      </c>
      <c r="G67" s="47">
        <v>0.42145519999999703</v>
      </c>
      <c r="H67" s="47"/>
      <c r="I67" s="47">
        <f t="shared" si="54"/>
        <v>1.42</v>
      </c>
      <c r="J67" s="47">
        <f t="shared" si="55"/>
        <v>0.67145519999999703</v>
      </c>
      <c r="L67" s="47">
        <f t="shared" si="50"/>
        <v>-0.7485448000000029</v>
      </c>
      <c r="M67" s="29">
        <f t="shared" si="20"/>
        <v>-0.52714422535211469</v>
      </c>
    </row>
    <row r="68" spans="1:13" s="7" customFormat="1" ht="25.5" x14ac:dyDescent="0.2">
      <c r="A68" s="112" t="s">
        <v>12</v>
      </c>
      <c r="B68" s="113">
        <v>0</v>
      </c>
      <c r="C68" s="113">
        <v>0.11</v>
      </c>
      <c r="D68" s="113">
        <v>0.02</v>
      </c>
      <c r="E68" s="113">
        <v>-7.0000000000000007E-2</v>
      </c>
      <c r="F68" s="113">
        <v>0.03</v>
      </c>
      <c r="G68" s="113">
        <v>0.24638943999999924</v>
      </c>
      <c r="H68" s="113"/>
      <c r="I68" s="113">
        <f t="shared" si="54"/>
        <v>-0.05</v>
      </c>
      <c r="J68" s="113">
        <f t="shared" si="55"/>
        <v>0.27638943999999921</v>
      </c>
      <c r="K68" s="115"/>
      <c r="L68" s="113">
        <f t="shared" si="50"/>
        <v>0.3263894399999992</v>
      </c>
      <c r="M68" s="114" t="str">
        <f t="shared" si="20"/>
        <v xml:space="preserve">n/a </v>
      </c>
    </row>
    <row r="69" spans="1:13" s="7" customFormat="1" ht="12.75" x14ac:dyDescent="0.2">
      <c r="A69" s="8" t="s">
        <v>13</v>
      </c>
      <c r="B69" s="48">
        <v>4.28</v>
      </c>
      <c r="C69" s="48">
        <v>6.32</v>
      </c>
      <c r="D69" s="48">
        <v>4.1500000000000004</v>
      </c>
      <c r="E69" s="48">
        <v>3.74</v>
      </c>
      <c r="F69" s="48">
        <v>0.65</v>
      </c>
      <c r="G69" s="48">
        <v>4.2512389600000011</v>
      </c>
      <c r="H69" s="47"/>
      <c r="I69" s="48">
        <f t="shared" si="54"/>
        <v>7.8900000000000006</v>
      </c>
      <c r="J69" s="48">
        <f t="shared" si="55"/>
        <v>4.9012389600000015</v>
      </c>
      <c r="L69" s="48">
        <f t="shared" si="50"/>
        <v>-2.9887610399999991</v>
      </c>
      <c r="M69" s="30">
        <f t="shared" si="20"/>
        <v>-0.37880368060836489</v>
      </c>
    </row>
    <row r="70" spans="1:13" s="7" customFormat="1" ht="12.75" x14ac:dyDescent="0.2">
      <c r="A70" s="6" t="s">
        <v>14</v>
      </c>
      <c r="B70" s="50">
        <f t="shared" ref="B70:G70" si="56">SUM(B65:B69)</f>
        <v>6.61</v>
      </c>
      <c r="C70" s="50">
        <f t="shared" si="56"/>
        <v>8.629999999999999</v>
      </c>
      <c r="D70" s="50">
        <f t="shared" si="56"/>
        <v>5.98</v>
      </c>
      <c r="E70" s="50">
        <f t="shared" si="56"/>
        <v>5.35</v>
      </c>
      <c r="F70" s="50">
        <f t="shared" si="56"/>
        <v>2.04</v>
      </c>
      <c r="G70" s="50">
        <f t="shared" si="56"/>
        <v>6.083346879999997</v>
      </c>
      <c r="H70" s="47"/>
      <c r="I70" s="50">
        <f>SUM(I65:I69)</f>
        <v>11.33</v>
      </c>
      <c r="J70" s="50">
        <f>SUM(J65:J69)</f>
        <v>8.1233468799999979</v>
      </c>
      <c r="K70" s="6"/>
      <c r="L70" s="50">
        <f t="shared" si="50"/>
        <v>-3.2066531200000021</v>
      </c>
      <c r="M70" s="31">
        <f t="shared" si="20"/>
        <v>-0.28302322330097107</v>
      </c>
    </row>
    <row r="71" spans="1:13" s="7" customFormat="1" ht="12.75" x14ac:dyDescent="0.2">
      <c r="A71" s="6" t="s">
        <v>15</v>
      </c>
      <c r="B71" s="47"/>
      <c r="C71" s="47"/>
      <c r="D71" s="47"/>
      <c r="E71" s="47"/>
      <c r="F71" s="47"/>
      <c r="G71" s="47"/>
      <c r="H71" s="47"/>
      <c r="I71" s="47"/>
      <c r="J71" s="47"/>
      <c r="L71" s="47"/>
      <c r="M71" s="29"/>
    </row>
    <row r="72" spans="1:13" s="7" customFormat="1" ht="25.5" x14ac:dyDescent="0.2">
      <c r="A72" s="112" t="s">
        <v>16</v>
      </c>
      <c r="B72" s="116">
        <v>0.02</v>
      </c>
      <c r="C72" s="116">
        <v>0.01</v>
      </c>
      <c r="D72" s="116">
        <v>-0.11</v>
      </c>
      <c r="E72" s="116">
        <v>-0.37</v>
      </c>
      <c r="F72" s="116">
        <v>-0.67</v>
      </c>
      <c r="G72" s="116">
        <v>-0.28999999999999998</v>
      </c>
      <c r="H72" s="113"/>
      <c r="I72" s="116">
        <f t="shared" ref="I72" si="57">SUM(D72:E72)</f>
        <v>-0.48</v>
      </c>
      <c r="J72" s="116">
        <f t="shared" ref="J72" si="58">SUM(F72:G72)</f>
        <v>-0.96</v>
      </c>
      <c r="K72" s="115"/>
      <c r="L72" s="116">
        <f t="shared" si="50"/>
        <v>-0.48</v>
      </c>
      <c r="M72" s="117">
        <f t="shared" si="20"/>
        <v>-1</v>
      </c>
    </row>
    <row r="73" spans="1:13" s="7" customFormat="1" ht="12.75" x14ac:dyDescent="0.2">
      <c r="A73" s="6" t="s">
        <v>17</v>
      </c>
      <c r="B73" s="50">
        <f>SUM(B72)</f>
        <v>0.02</v>
      </c>
      <c r="C73" s="50">
        <f t="shared" ref="C73:J73" si="59">SUM(C72)</f>
        <v>0.01</v>
      </c>
      <c r="D73" s="50">
        <f t="shared" si="59"/>
        <v>-0.11</v>
      </c>
      <c r="E73" s="50">
        <f t="shared" si="59"/>
        <v>-0.37</v>
      </c>
      <c r="F73" s="50">
        <f t="shared" si="59"/>
        <v>-0.67</v>
      </c>
      <c r="G73" s="50">
        <f t="shared" si="59"/>
        <v>-0.28999999999999998</v>
      </c>
      <c r="H73" s="47"/>
      <c r="I73" s="50">
        <f t="shared" si="59"/>
        <v>-0.48</v>
      </c>
      <c r="J73" s="50">
        <f t="shared" si="59"/>
        <v>-0.96</v>
      </c>
      <c r="K73" s="6"/>
      <c r="L73" s="50">
        <f t="shared" si="50"/>
        <v>-0.48</v>
      </c>
      <c r="M73" s="31">
        <f t="shared" si="20"/>
        <v>-1</v>
      </c>
    </row>
    <row r="74" spans="1:13" ht="18" x14ac:dyDescent="0.25">
      <c r="A74" s="4" t="s">
        <v>353</v>
      </c>
      <c r="B74" s="5"/>
      <c r="C74" s="5"/>
      <c r="D74" s="5"/>
      <c r="E74" s="5"/>
      <c r="F74" s="5"/>
      <c r="G74" s="5"/>
      <c r="H74" s="5"/>
      <c r="I74" s="5"/>
      <c r="J74" s="5"/>
      <c r="K74" s="5"/>
      <c r="L74" s="5"/>
      <c r="M74" s="5"/>
    </row>
    <row r="76" spans="1:13" s="7" customFormat="1" ht="12.75" x14ac:dyDescent="0.2">
      <c r="A76" s="6" t="s">
        <v>18</v>
      </c>
      <c r="B76" s="47"/>
      <c r="C76" s="47"/>
      <c r="D76" s="47"/>
      <c r="E76" s="47"/>
      <c r="F76" s="47"/>
      <c r="G76" s="47"/>
      <c r="H76" s="47"/>
      <c r="I76" s="47"/>
      <c r="J76" s="47"/>
      <c r="K76" s="6"/>
      <c r="L76" s="50"/>
      <c r="M76" s="31"/>
    </row>
    <row r="77" spans="1:13" s="7" customFormat="1" ht="12.75" x14ac:dyDescent="0.2">
      <c r="A77" s="8" t="s">
        <v>19</v>
      </c>
      <c r="B77" s="47">
        <v>-95.31</v>
      </c>
      <c r="C77" s="47">
        <v>-100.05</v>
      </c>
      <c r="D77" s="47">
        <v>-108.61</v>
      </c>
      <c r="E77" s="47">
        <v>-159.41</v>
      </c>
      <c r="F77" s="47">
        <v>-178.26</v>
      </c>
      <c r="G77" s="47">
        <v>-210.84970439000003</v>
      </c>
      <c r="H77" s="47"/>
      <c r="I77" s="47">
        <f t="shared" ref="I77" si="60">SUM(D77:E77)</f>
        <v>-268.02</v>
      </c>
      <c r="J77" s="47">
        <f t="shared" ref="J77" si="61">SUM(F77:G77)</f>
        <v>-389.10970439000005</v>
      </c>
      <c r="L77" s="47">
        <f t="shared" si="50"/>
        <v>-121.08970439000007</v>
      </c>
      <c r="M77" s="29">
        <f t="shared" si="20"/>
        <v>-0.45179353925080246</v>
      </c>
    </row>
    <row r="78" spans="1:13" s="7" customFormat="1" ht="12.75" x14ac:dyDescent="0.2">
      <c r="A78" s="8" t="s">
        <v>20</v>
      </c>
      <c r="B78" s="47">
        <v>-7.31</v>
      </c>
      <c r="C78" s="47">
        <v>-7.79</v>
      </c>
      <c r="D78" s="47">
        <v>-8.5399999999999991</v>
      </c>
      <c r="E78" s="47">
        <v>-9.9499999999999993</v>
      </c>
      <c r="F78" s="47">
        <v>-10.62</v>
      </c>
      <c r="G78" s="47">
        <v>-13.698406790000002</v>
      </c>
      <c r="H78" s="47"/>
      <c r="I78" s="47">
        <f t="shared" ref="I78:I85" si="62">SUM(D78:E78)</f>
        <v>-18.489999999999998</v>
      </c>
      <c r="J78" s="47">
        <f t="shared" ref="J78:J85" si="63">SUM(F78:G78)</f>
        <v>-24.318406790000001</v>
      </c>
      <c r="L78" s="47">
        <f t="shared" si="50"/>
        <v>-5.8284067900000025</v>
      </c>
      <c r="M78" s="29">
        <f t="shared" si="20"/>
        <v>-0.31521940454299635</v>
      </c>
    </row>
    <row r="79" spans="1:13" s="7" customFormat="1" ht="12.75" x14ac:dyDescent="0.2">
      <c r="A79" s="8" t="s">
        <v>21</v>
      </c>
      <c r="B79" s="47">
        <v>-17.71</v>
      </c>
      <c r="C79" s="47">
        <v>-18.91</v>
      </c>
      <c r="D79" s="47">
        <v>-19.87</v>
      </c>
      <c r="E79" s="47">
        <v>-20.25</v>
      </c>
      <c r="F79" s="47">
        <v>-21.06</v>
      </c>
      <c r="G79" s="47">
        <v>-23.485399939999997</v>
      </c>
      <c r="H79" s="47"/>
      <c r="I79" s="47">
        <f t="shared" si="62"/>
        <v>-40.120000000000005</v>
      </c>
      <c r="J79" s="47">
        <f t="shared" si="63"/>
        <v>-44.545399939999996</v>
      </c>
      <c r="L79" s="47">
        <f t="shared" si="50"/>
        <v>-4.4253999399999913</v>
      </c>
      <c r="M79" s="29">
        <f t="shared" si="20"/>
        <v>-0.11030408624127594</v>
      </c>
    </row>
    <row r="80" spans="1:13" s="7" customFormat="1" ht="12.75" x14ac:dyDescent="0.2">
      <c r="A80" s="8" t="s">
        <v>22</v>
      </c>
      <c r="B80" s="47">
        <v>-4.45</v>
      </c>
      <c r="C80" s="47">
        <v>-5.25</v>
      </c>
      <c r="D80" s="47">
        <v>-4.41</v>
      </c>
      <c r="E80" s="47">
        <v>-11.01</v>
      </c>
      <c r="F80" s="47">
        <v>-9.6</v>
      </c>
      <c r="G80" s="47">
        <v>-14.77880998</v>
      </c>
      <c r="H80" s="47"/>
      <c r="I80" s="47">
        <f t="shared" si="62"/>
        <v>-15.42</v>
      </c>
      <c r="J80" s="47">
        <f t="shared" si="63"/>
        <v>-24.37880998</v>
      </c>
      <c r="L80" s="47">
        <f t="shared" si="50"/>
        <v>-8.9588099799999998</v>
      </c>
      <c r="M80" s="29">
        <f t="shared" si="20"/>
        <v>-0.58098638002594027</v>
      </c>
    </row>
    <row r="81" spans="1:13" s="7" customFormat="1" ht="12.75" x14ac:dyDescent="0.2">
      <c r="A81" s="8" t="s">
        <v>23</v>
      </c>
      <c r="B81" s="47">
        <v>-5.6</v>
      </c>
      <c r="C81" s="47">
        <v>-4.99</v>
      </c>
      <c r="D81" s="47">
        <v>-6.57</v>
      </c>
      <c r="E81" s="47">
        <v>-2.77</v>
      </c>
      <c r="F81" s="47">
        <v>-2.16</v>
      </c>
      <c r="G81" s="47">
        <v>-3.9837772499999997</v>
      </c>
      <c r="H81" s="47"/>
      <c r="I81" s="47">
        <f t="shared" si="62"/>
        <v>-9.34</v>
      </c>
      <c r="J81" s="47">
        <f t="shared" si="63"/>
        <v>-6.1437772499999994</v>
      </c>
      <c r="L81" s="47">
        <f t="shared" si="50"/>
        <v>3.1962227500000004</v>
      </c>
      <c r="M81" s="29">
        <f t="shared" si="20"/>
        <v>0.34220800321199146</v>
      </c>
    </row>
    <row r="82" spans="1:13" s="7" customFormat="1" ht="12.75" x14ac:dyDescent="0.2">
      <c r="A82" s="8" t="s">
        <v>24</v>
      </c>
      <c r="B82" s="47">
        <v>-7.18</v>
      </c>
      <c r="C82" s="47">
        <v>-8.48</v>
      </c>
      <c r="D82" s="47">
        <v>-9.0299999999999994</v>
      </c>
      <c r="E82" s="47">
        <v>-12.56</v>
      </c>
      <c r="F82" s="47">
        <v>-13.44</v>
      </c>
      <c r="G82" s="47">
        <v>-14.562868679999982</v>
      </c>
      <c r="H82" s="47"/>
      <c r="I82" s="47">
        <f t="shared" si="62"/>
        <v>-21.59</v>
      </c>
      <c r="J82" s="47">
        <f t="shared" si="63"/>
        <v>-28.002868679999981</v>
      </c>
      <c r="L82" s="47">
        <f t="shared" si="50"/>
        <v>-6.4128686799999812</v>
      </c>
      <c r="M82" s="29">
        <f t="shared" si="20"/>
        <v>-0.29702958221398706</v>
      </c>
    </row>
    <row r="83" spans="1:13" s="7" customFormat="1" ht="12.75" x14ac:dyDescent="0.2">
      <c r="A83" s="8" t="s">
        <v>25</v>
      </c>
      <c r="B83" s="47">
        <v>-8.83</v>
      </c>
      <c r="C83" s="47">
        <v>-9.27</v>
      </c>
      <c r="D83" s="47">
        <v>-3.02</v>
      </c>
      <c r="E83" s="47">
        <v>-3.76</v>
      </c>
      <c r="F83" s="47">
        <v>-4.1399999999999997</v>
      </c>
      <c r="G83" s="47">
        <v>-5.2268616200000002</v>
      </c>
      <c r="H83" s="47"/>
      <c r="I83" s="47">
        <f t="shared" si="62"/>
        <v>-6.7799999999999994</v>
      </c>
      <c r="J83" s="47">
        <f t="shared" si="63"/>
        <v>-9.3668616199999999</v>
      </c>
      <c r="L83" s="47">
        <f t="shared" si="50"/>
        <v>-2.5868616200000005</v>
      </c>
      <c r="M83" s="29">
        <f t="shared" si="20"/>
        <v>-0.38154301179941014</v>
      </c>
    </row>
    <row r="84" spans="1:13" s="7" customFormat="1" ht="12.75" x14ac:dyDescent="0.2">
      <c r="A84" s="8" t="s">
        <v>26</v>
      </c>
      <c r="B84" s="47">
        <v>-3.15</v>
      </c>
      <c r="C84" s="47">
        <v>-2.88</v>
      </c>
      <c r="D84" s="47">
        <v>-3.59</v>
      </c>
      <c r="E84" s="47">
        <v>-1.01</v>
      </c>
      <c r="F84" s="47">
        <v>-0.47</v>
      </c>
      <c r="G84" s="47">
        <v>5.5706049999999951E-2</v>
      </c>
      <c r="H84" s="47"/>
      <c r="I84" s="47">
        <f t="shared" si="62"/>
        <v>-4.5999999999999996</v>
      </c>
      <c r="J84" s="47">
        <f t="shared" si="63"/>
        <v>-0.41429395000000002</v>
      </c>
      <c r="L84" s="47">
        <f t="shared" si="50"/>
        <v>4.1857060499999994</v>
      </c>
      <c r="M84" s="29">
        <f t="shared" si="20"/>
        <v>0.90993609782608686</v>
      </c>
    </row>
    <row r="85" spans="1:13" s="7" customFormat="1" ht="12.75" x14ac:dyDescent="0.2">
      <c r="A85" s="8" t="s">
        <v>27</v>
      </c>
      <c r="B85" s="48">
        <v>0.26</v>
      </c>
      <c r="C85" s="48">
        <v>0.01</v>
      </c>
      <c r="D85" s="48">
        <v>-0.01</v>
      </c>
      <c r="E85" s="48">
        <v>0</v>
      </c>
      <c r="F85" s="48">
        <v>0</v>
      </c>
      <c r="G85" s="48">
        <v>-0.26154843999997313</v>
      </c>
      <c r="H85" s="47"/>
      <c r="I85" s="48">
        <f t="shared" si="62"/>
        <v>-0.01</v>
      </c>
      <c r="J85" s="48">
        <f t="shared" si="63"/>
        <v>-0.26154843999997313</v>
      </c>
      <c r="L85" s="48">
        <f t="shared" si="50"/>
        <v>-0.25154843999997312</v>
      </c>
      <c r="M85" s="30" t="str">
        <f t="shared" si="20"/>
        <v xml:space="preserve">n/a </v>
      </c>
    </row>
    <row r="86" spans="1:13" s="7" customFormat="1" ht="12.75" x14ac:dyDescent="0.2">
      <c r="A86" s="6" t="s">
        <v>28</v>
      </c>
      <c r="B86" s="50">
        <f t="shared" ref="B86:G86" si="64">SUM(B77:B85)</f>
        <v>-149.28000000000006</v>
      </c>
      <c r="C86" s="50">
        <f t="shared" si="64"/>
        <v>-157.61000000000001</v>
      </c>
      <c r="D86" s="50">
        <f t="shared" si="64"/>
        <v>-163.65</v>
      </c>
      <c r="E86" s="50">
        <f t="shared" si="64"/>
        <v>-220.71999999999997</v>
      </c>
      <c r="F86" s="50">
        <f t="shared" si="64"/>
        <v>-239.74999999999997</v>
      </c>
      <c r="G86" s="50">
        <f t="shared" si="64"/>
        <v>-286.79167103999998</v>
      </c>
      <c r="H86" s="47"/>
      <c r="I86" s="50">
        <f>SUM(I77:I85)</f>
        <v>-384.36999999999995</v>
      </c>
      <c r="J86" s="50">
        <f>SUM(J77:J85)</f>
        <v>-526.54167103999998</v>
      </c>
      <c r="K86" s="6"/>
      <c r="L86" s="50">
        <f t="shared" si="50"/>
        <v>-142.17167104000004</v>
      </c>
      <c r="M86" s="31">
        <f t="shared" si="20"/>
        <v>-0.36988232963030426</v>
      </c>
    </row>
    <row r="87" spans="1:13" s="7" customFormat="1" ht="12.75" x14ac:dyDescent="0.2">
      <c r="A87" s="6" t="s">
        <v>29</v>
      </c>
      <c r="B87" s="47"/>
      <c r="C87" s="47"/>
      <c r="D87" s="47"/>
      <c r="E87" s="47"/>
      <c r="F87" s="47"/>
      <c r="G87" s="47"/>
      <c r="H87" s="47"/>
      <c r="I87" s="47"/>
      <c r="J87" s="47"/>
      <c r="L87" s="47"/>
      <c r="M87" s="29"/>
    </row>
    <row r="88" spans="1:13" s="7" customFormat="1" ht="12.75" x14ac:dyDescent="0.2">
      <c r="A88" s="8" t="s">
        <v>30</v>
      </c>
      <c r="B88" s="47">
        <v>-4.4400000000000004</v>
      </c>
      <c r="C88" s="47">
        <v>-0.35</v>
      </c>
      <c r="D88" s="47">
        <v>-1.77</v>
      </c>
      <c r="E88" s="47">
        <v>-1.1599999999999999</v>
      </c>
      <c r="F88" s="47">
        <v>-1.1499999999999999</v>
      </c>
      <c r="G88" s="47">
        <v>-1.0233771300000001</v>
      </c>
      <c r="H88" s="47"/>
      <c r="I88" s="47">
        <f t="shared" ref="I88" si="65">SUM(D88:E88)</f>
        <v>-2.9299999999999997</v>
      </c>
      <c r="J88" s="47">
        <f t="shared" ref="J88" si="66">SUM(F88:G88)</f>
        <v>-2.17337713</v>
      </c>
      <c r="L88" s="47">
        <f t="shared" si="50"/>
        <v>0.75662286999999973</v>
      </c>
      <c r="M88" s="29">
        <f t="shared" si="20"/>
        <v>0.25823306143344704</v>
      </c>
    </row>
    <row r="89" spans="1:13" s="7" customFormat="1" ht="12.75" x14ac:dyDescent="0.2">
      <c r="A89" s="8" t="s">
        <v>31</v>
      </c>
      <c r="B89" s="47">
        <v>-4.0599999999999996</v>
      </c>
      <c r="C89" s="47">
        <v>-4.3</v>
      </c>
      <c r="D89" s="47">
        <v>-10.210000000000001</v>
      </c>
      <c r="E89" s="153">
        <v>-13</v>
      </c>
      <c r="F89" s="47">
        <v>-13.35</v>
      </c>
      <c r="G89" s="47">
        <v>-15.764849860000002</v>
      </c>
      <c r="H89" s="47"/>
      <c r="I89" s="47">
        <f t="shared" ref="I89:I90" si="67">SUM(D89:E89)</f>
        <v>-23.21</v>
      </c>
      <c r="J89" s="47">
        <f t="shared" ref="J89:J90" si="68">SUM(F89:G89)</f>
        <v>-29.11484986</v>
      </c>
      <c r="L89" s="47">
        <f t="shared" si="50"/>
        <v>-5.9048498599999988</v>
      </c>
      <c r="M89" s="29">
        <f t="shared" si="20"/>
        <v>-0.25440973115036614</v>
      </c>
    </row>
    <row r="90" spans="1:13" s="7" customFormat="1" ht="12.75" x14ac:dyDescent="0.2">
      <c r="A90" s="8" t="s">
        <v>32</v>
      </c>
      <c r="B90" s="48">
        <v>-0.35</v>
      </c>
      <c r="C90" s="48">
        <v>-0.36</v>
      </c>
      <c r="D90" s="48">
        <v>-0.37</v>
      </c>
      <c r="E90" s="48">
        <v>-0.44</v>
      </c>
      <c r="F90" s="48">
        <v>-0.37</v>
      </c>
      <c r="G90" s="48">
        <v>-0.3824921</v>
      </c>
      <c r="H90" s="47"/>
      <c r="I90" s="48">
        <f t="shared" si="67"/>
        <v>-0.81</v>
      </c>
      <c r="J90" s="48">
        <f t="shared" si="68"/>
        <v>-0.7524921</v>
      </c>
      <c r="L90" s="48">
        <f t="shared" si="50"/>
        <v>5.7507900000000056E-2</v>
      </c>
      <c r="M90" s="30">
        <f t="shared" si="20"/>
        <v>7.0997407407407467E-2</v>
      </c>
    </row>
    <row r="91" spans="1:13" s="7" customFormat="1" ht="12.75" x14ac:dyDescent="0.2">
      <c r="A91" s="6" t="s">
        <v>33</v>
      </c>
      <c r="B91" s="50">
        <f>SUM(B88:B90)</f>
        <v>-8.85</v>
      </c>
      <c r="C91" s="50">
        <f t="shared" ref="C91:J91" si="69">SUM(C88:C90)</f>
        <v>-5.01</v>
      </c>
      <c r="D91" s="50">
        <f t="shared" si="69"/>
        <v>-12.35</v>
      </c>
      <c r="E91" s="154">
        <f t="shared" si="69"/>
        <v>-14.6</v>
      </c>
      <c r="F91" s="50">
        <f t="shared" si="69"/>
        <v>-14.87</v>
      </c>
      <c r="G91" s="50">
        <f t="shared" si="69"/>
        <v>-17.170719090000002</v>
      </c>
      <c r="H91" s="47"/>
      <c r="I91" s="50">
        <f t="shared" si="69"/>
        <v>-26.95</v>
      </c>
      <c r="J91" s="50">
        <f t="shared" si="69"/>
        <v>-32.040719089999996</v>
      </c>
      <c r="K91" s="6"/>
      <c r="L91" s="50">
        <f t="shared" si="50"/>
        <v>-5.0907190899999968</v>
      </c>
      <c r="M91" s="31">
        <f t="shared" si="20"/>
        <v>-0.18889495695732827</v>
      </c>
    </row>
    <row r="92" spans="1:13" s="7" customFormat="1" ht="12.75" x14ac:dyDescent="0.2">
      <c r="A92" s="6" t="s">
        <v>34</v>
      </c>
      <c r="B92" s="47"/>
      <c r="C92" s="47"/>
      <c r="D92" s="47"/>
      <c r="E92" s="47"/>
      <c r="F92" s="47"/>
      <c r="G92" s="47"/>
      <c r="H92" s="47"/>
      <c r="I92" s="47"/>
      <c r="J92" s="47"/>
      <c r="L92" s="47"/>
      <c r="M92" s="29"/>
    </row>
    <row r="93" spans="1:13" s="7" customFormat="1" ht="12.75" x14ac:dyDescent="0.2">
      <c r="A93" s="8" t="s">
        <v>35</v>
      </c>
      <c r="B93" s="47">
        <v>0.13</v>
      </c>
      <c r="C93" s="47">
        <v>0.11</v>
      </c>
      <c r="D93" s="47">
        <v>0.08</v>
      </c>
      <c r="E93" s="47">
        <v>0.01</v>
      </c>
      <c r="F93" s="47">
        <v>0</v>
      </c>
      <c r="G93" s="47">
        <v>8.3415799999999977E-3</v>
      </c>
      <c r="H93" s="47"/>
      <c r="I93" s="47">
        <f t="shared" ref="I93:I96" si="70">SUM(D93:E93)</f>
        <v>0.09</v>
      </c>
      <c r="J93" s="47">
        <f t="shared" ref="J93:J96" si="71">SUM(F93:G93)</f>
        <v>8.3415799999999977E-3</v>
      </c>
      <c r="L93" s="47">
        <f t="shared" si="50"/>
        <v>-8.1658419999999995E-2</v>
      </c>
      <c r="M93" s="29">
        <f t="shared" si="20"/>
        <v>-0.90731577777777772</v>
      </c>
    </row>
    <row r="94" spans="1:13" s="148" customFormat="1" ht="12.75" x14ac:dyDescent="0.2">
      <c r="A94" s="8" t="s">
        <v>359</v>
      </c>
      <c r="B94" s="47">
        <v>0</v>
      </c>
      <c r="C94" s="47">
        <v>0</v>
      </c>
      <c r="D94" s="47">
        <v>0</v>
      </c>
      <c r="E94" s="47">
        <v>0</v>
      </c>
      <c r="F94" s="47">
        <v>0</v>
      </c>
      <c r="G94" s="47">
        <v>0.32574049999999999</v>
      </c>
      <c r="H94" s="47"/>
      <c r="I94" s="47">
        <f t="shared" ref="I94" si="72">SUM(D94:E94)</f>
        <v>0</v>
      </c>
      <c r="J94" s="47">
        <f t="shared" ref="J94" si="73">SUM(F94:G94)</f>
        <v>0.32574049999999999</v>
      </c>
      <c r="L94" s="47">
        <f t="shared" ref="L94" si="74">J94-I94</f>
        <v>0.32574049999999999</v>
      </c>
      <c r="M94" s="29" t="str">
        <f t="shared" ref="M94" si="75">+IF(I94&lt;&gt;0,IF(ABS((L94)/I94)&gt;1,"n/a ",(L94)/I94*SIGN(I94)),"n/a ")</f>
        <v xml:space="preserve">n/a </v>
      </c>
    </row>
    <row r="95" spans="1:13" s="7" customFormat="1" ht="12.75" x14ac:dyDescent="0.2">
      <c r="A95" s="8" t="s">
        <v>36</v>
      </c>
      <c r="B95" s="47">
        <v>32.369999999999997</v>
      </c>
      <c r="C95" s="47">
        <v>44.45</v>
      </c>
      <c r="D95" s="47">
        <v>8.68</v>
      </c>
      <c r="E95" s="47">
        <v>2.5</v>
      </c>
      <c r="F95" s="47">
        <v>2</v>
      </c>
      <c r="G95" s="47">
        <v>1.5246062599999999</v>
      </c>
      <c r="H95" s="47"/>
      <c r="I95" s="47">
        <f t="shared" si="70"/>
        <v>11.18</v>
      </c>
      <c r="J95" s="47">
        <f t="shared" si="71"/>
        <v>3.5246062599999997</v>
      </c>
      <c r="L95" s="47">
        <f t="shared" si="50"/>
        <v>-7.6553937400000001</v>
      </c>
      <c r="M95" s="29">
        <f t="shared" si="20"/>
        <v>-0.6847400483005367</v>
      </c>
    </row>
    <row r="96" spans="1:13" s="7" customFormat="1" ht="12.75" x14ac:dyDescent="0.2">
      <c r="A96" s="8" t="s">
        <v>37</v>
      </c>
      <c r="B96" s="48">
        <v>-4.82</v>
      </c>
      <c r="C96" s="48">
        <v>-8.06</v>
      </c>
      <c r="D96" s="48">
        <v>-7.81</v>
      </c>
      <c r="E96" s="48">
        <v>-6.45</v>
      </c>
      <c r="F96" s="48">
        <v>-5.4489999999999998</v>
      </c>
      <c r="G96" s="48">
        <v>-5.6115473299999996</v>
      </c>
      <c r="H96" s="47"/>
      <c r="I96" s="48">
        <f t="shared" si="70"/>
        <v>-14.26</v>
      </c>
      <c r="J96" s="48">
        <f t="shared" si="71"/>
        <v>-11.060547329999999</v>
      </c>
      <c r="L96" s="48">
        <f t="shared" si="50"/>
        <v>3.1994526700000012</v>
      </c>
      <c r="M96" s="30">
        <f t="shared" si="20"/>
        <v>0.2243655448807855</v>
      </c>
    </row>
    <row r="97" spans="1:15" s="7" customFormat="1" ht="12.75" x14ac:dyDescent="0.2">
      <c r="A97" s="6" t="s">
        <v>38</v>
      </c>
      <c r="B97" s="50">
        <f>SUM(B93:B96)</f>
        <v>27.68</v>
      </c>
      <c r="C97" s="50">
        <f t="shared" ref="C97:J97" si="76">SUM(C93:C96)</f>
        <v>36.5</v>
      </c>
      <c r="D97" s="50">
        <f t="shared" si="76"/>
        <v>0.95000000000000018</v>
      </c>
      <c r="E97" s="50">
        <f t="shared" si="76"/>
        <v>-3.9400000000000004</v>
      </c>
      <c r="F97" s="50">
        <f t="shared" si="76"/>
        <v>-3.4489999999999998</v>
      </c>
      <c r="G97" s="50">
        <f t="shared" si="76"/>
        <v>-3.75285899</v>
      </c>
      <c r="H97" s="47"/>
      <c r="I97" s="50">
        <f t="shared" si="76"/>
        <v>-2.99</v>
      </c>
      <c r="J97" s="50">
        <f t="shared" si="76"/>
        <v>-7.201858989999999</v>
      </c>
      <c r="K97" s="6"/>
      <c r="L97" s="50">
        <f t="shared" si="50"/>
        <v>-4.2118589899999987</v>
      </c>
      <c r="M97" s="31" t="str">
        <f t="shared" si="20"/>
        <v xml:space="preserve">n/a </v>
      </c>
    </row>
    <row r="98" spans="1:15" s="7" customFormat="1" ht="12.75" x14ac:dyDescent="0.2">
      <c r="A98" s="6" t="s">
        <v>39</v>
      </c>
      <c r="B98" s="47"/>
      <c r="C98" s="47"/>
      <c r="D98" s="47"/>
      <c r="E98" s="47"/>
      <c r="F98" s="47"/>
      <c r="G98" s="47"/>
      <c r="H98" s="47"/>
      <c r="I98" s="47"/>
      <c r="J98" s="47"/>
      <c r="L98" s="47"/>
      <c r="M98" s="29"/>
    </row>
    <row r="99" spans="1:15" s="7" customFormat="1" ht="12.75" x14ac:dyDescent="0.2">
      <c r="A99" s="8" t="s">
        <v>40</v>
      </c>
      <c r="B99" s="47">
        <v>0.14000000000000001</v>
      </c>
      <c r="C99" s="47">
        <v>0.05</v>
      </c>
      <c r="D99" s="47">
        <v>0.6</v>
      </c>
      <c r="E99" s="47">
        <v>-0.39</v>
      </c>
      <c r="F99" s="47">
        <v>1.4E-2</v>
      </c>
      <c r="G99" s="47">
        <v>9.7976800000000031E-3</v>
      </c>
      <c r="H99" s="47"/>
      <c r="I99" s="47">
        <f t="shared" ref="I99:I100" si="77">SUM(D99:E99)</f>
        <v>0.20999999999999996</v>
      </c>
      <c r="J99" s="47">
        <f t="shared" ref="J99:J100" si="78">SUM(F99:G99)</f>
        <v>2.3797680000000002E-2</v>
      </c>
      <c r="L99" s="47">
        <f t="shared" si="50"/>
        <v>-0.18620231999999998</v>
      </c>
      <c r="M99" s="29">
        <f t="shared" si="20"/>
        <v>-0.88667771428571429</v>
      </c>
    </row>
    <row r="100" spans="1:15" s="7" customFormat="1" ht="12.75" x14ac:dyDescent="0.2">
      <c r="A100" s="8" t="s">
        <v>41</v>
      </c>
      <c r="B100" s="47">
        <v>-37.85</v>
      </c>
      <c r="C100" s="47">
        <v>-34.549999999999997</v>
      </c>
      <c r="D100" s="47">
        <v>-23.24</v>
      </c>
      <c r="E100" s="47">
        <v>-27.05</v>
      </c>
      <c r="F100" s="47">
        <v>-26.76</v>
      </c>
      <c r="G100" s="47">
        <v>-29.580923349999992</v>
      </c>
      <c r="H100" s="47"/>
      <c r="I100" s="47">
        <f t="shared" si="77"/>
        <v>-50.29</v>
      </c>
      <c r="J100" s="47">
        <f t="shared" si="78"/>
        <v>-56.340923349999997</v>
      </c>
      <c r="L100" s="47">
        <f t="shared" si="50"/>
        <v>-6.0509233499999979</v>
      </c>
      <c r="M100" s="29">
        <f t="shared" si="20"/>
        <v>-0.12032060747663548</v>
      </c>
    </row>
    <row r="101" spans="1:15" s="7" customFormat="1" ht="12.75" x14ac:dyDescent="0.2">
      <c r="A101" s="6" t="s">
        <v>42</v>
      </c>
      <c r="B101" s="52">
        <f t="shared" ref="B101:G101" si="79">SUM(B99:B100)</f>
        <v>-37.71</v>
      </c>
      <c r="C101" s="52">
        <f t="shared" si="79"/>
        <v>-34.5</v>
      </c>
      <c r="D101" s="52">
        <f t="shared" si="79"/>
        <v>-22.639999999999997</v>
      </c>
      <c r="E101" s="52">
        <f t="shared" si="79"/>
        <v>-27.44</v>
      </c>
      <c r="F101" s="52">
        <f t="shared" si="79"/>
        <v>-26.746000000000002</v>
      </c>
      <c r="G101" s="52">
        <f t="shared" si="79"/>
        <v>-29.571125669999994</v>
      </c>
      <c r="H101" s="47"/>
      <c r="I101" s="52">
        <f>SUM(I99:I100)</f>
        <v>-50.08</v>
      </c>
      <c r="J101" s="52">
        <f>SUM(J99:J100)</f>
        <v>-56.317125669999996</v>
      </c>
      <c r="K101" s="6"/>
      <c r="L101" s="52">
        <f t="shared" si="50"/>
        <v>-6.2371256699999975</v>
      </c>
      <c r="M101" s="32">
        <f t="shared" si="20"/>
        <v>-0.12454324420926513</v>
      </c>
    </row>
    <row r="102" spans="1:15" s="7" customFormat="1" ht="13.5" thickBot="1" x14ac:dyDescent="0.25">
      <c r="A102" s="6" t="s">
        <v>43</v>
      </c>
      <c r="B102" s="53">
        <f t="shared" ref="B102:G102" si="80">SUM(B63,B70,B73,B86,B91,B97,B101)</f>
        <v>92.519999999999953</v>
      </c>
      <c r="C102" s="53">
        <f t="shared" si="80"/>
        <v>90.76</v>
      </c>
      <c r="D102" s="53">
        <f t="shared" si="80"/>
        <v>56.507944660000021</v>
      </c>
      <c r="E102" s="155">
        <f t="shared" si="80"/>
        <v>67.54021005000007</v>
      </c>
      <c r="F102" s="53">
        <f t="shared" si="80"/>
        <v>65.859489350000246</v>
      </c>
      <c r="G102" s="53">
        <f t="shared" si="80"/>
        <v>81.893222080000157</v>
      </c>
      <c r="H102" s="47"/>
      <c r="I102" s="53">
        <f>SUM(I63,I70,I73,I86,I91,I97,I101)</f>
        <v>124.04815471000011</v>
      </c>
      <c r="J102" s="53">
        <f>SUM(J63,J70,J73,J86,J91,J97,J101)</f>
        <v>147.75271143000015</v>
      </c>
      <c r="K102" s="6"/>
      <c r="L102" s="53">
        <f t="shared" si="50"/>
        <v>23.704556720000042</v>
      </c>
      <c r="M102" s="33">
        <f t="shared" si="20"/>
        <v>0.19109157065186966</v>
      </c>
    </row>
    <row r="103" spans="1:15" s="7" customFormat="1" ht="13.5" thickTop="1" x14ac:dyDescent="0.2">
      <c r="A103" s="8" t="s">
        <v>44</v>
      </c>
      <c r="B103" s="47">
        <v>-0.17</v>
      </c>
      <c r="C103" s="47">
        <v>-0.1</v>
      </c>
      <c r="D103" s="47">
        <v>0</v>
      </c>
      <c r="E103" s="47">
        <v>0</v>
      </c>
      <c r="F103" s="47">
        <v>0</v>
      </c>
      <c r="G103" s="47">
        <v>0</v>
      </c>
      <c r="H103" s="47"/>
      <c r="I103" s="47">
        <f t="shared" ref="I103" si="81">SUM(D103:E103)</f>
        <v>0</v>
      </c>
      <c r="J103" s="47">
        <f t="shared" ref="J103" si="82">SUM(F103:G103)</f>
        <v>0</v>
      </c>
      <c r="L103" s="47">
        <f t="shared" si="50"/>
        <v>0</v>
      </c>
      <c r="M103" s="29" t="str">
        <f t="shared" si="20"/>
        <v xml:space="preserve">n/a </v>
      </c>
    </row>
    <row r="104" spans="1:15" s="7" customFormat="1" ht="12.75" x14ac:dyDescent="0.2">
      <c r="A104" s="8" t="s">
        <v>45</v>
      </c>
      <c r="B104" s="47">
        <v>6.59</v>
      </c>
      <c r="C104" s="47">
        <v>6.73</v>
      </c>
      <c r="D104" s="47">
        <v>3.64</v>
      </c>
      <c r="E104" s="47">
        <v>0</v>
      </c>
      <c r="F104" s="47">
        <v>0</v>
      </c>
      <c r="G104" s="47">
        <v>0</v>
      </c>
      <c r="H104" s="47"/>
      <c r="I104" s="47">
        <f t="shared" ref="I104:I106" si="83">SUM(D104:E104)</f>
        <v>3.64</v>
      </c>
      <c r="J104" s="47">
        <f t="shared" ref="J104:J106" si="84">SUM(F104:G104)</f>
        <v>0</v>
      </c>
      <c r="L104" s="47">
        <f t="shared" si="50"/>
        <v>-3.64</v>
      </c>
      <c r="M104" s="29">
        <f t="shared" si="20"/>
        <v>-1</v>
      </c>
    </row>
    <row r="105" spans="1:15" s="7" customFormat="1" ht="12.75" x14ac:dyDescent="0.2">
      <c r="A105" s="8" t="s">
        <v>46</v>
      </c>
      <c r="B105" s="47">
        <v>0.49</v>
      </c>
      <c r="C105" s="47">
        <v>0.17</v>
      </c>
      <c r="D105" s="47">
        <v>0.17</v>
      </c>
      <c r="E105" s="47">
        <v>-0.08</v>
      </c>
      <c r="F105" s="47">
        <v>0</v>
      </c>
      <c r="G105" s="47">
        <v>0</v>
      </c>
      <c r="H105" s="47"/>
      <c r="I105" s="47">
        <f t="shared" si="83"/>
        <v>9.0000000000000011E-2</v>
      </c>
      <c r="J105" s="47">
        <f t="shared" si="84"/>
        <v>0</v>
      </c>
      <c r="L105" s="47">
        <f t="shared" si="50"/>
        <v>-9.0000000000000011E-2</v>
      </c>
      <c r="M105" s="29">
        <f t="shared" si="20"/>
        <v>-1</v>
      </c>
    </row>
    <row r="106" spans="1:15" s="7" customFormat="1" x14ac:dyDescent="0.2">
      <c r="A106" s="8" t="s">
        <v>47</v>
      </c>
      <c r="B106" s="47">
        <v>0.42</v>
      </c>
      <c r="C106" s="47">
        <v>0.54400000000000004</v>
      </c>
      <c r="D106" s="47">
        <v>1.04</v>
      </c>
      <c r="E106" s="47">
        <v>0</v>
      </c>
      <c r="F106" s="47">
        <v>0</v>
      </c>
      <c r="G106" s="47">
        <v>0</v>
      </c>
      <c r="H106" s="47"/>
      <c r="I106" s="47">
        <f t="shared" si="83"/>
        <v>1.04</v>
      </c>
      <c r="J106" s="47">
        <f t="shared" si="84"/>
        <v>0</v>
      </c>
      <c r="L106" s="47">
        <f t="shared" si="50"/>
        <v>-1.04</v>
      </c>
      <c r="M106" s="29">
        <f t="shared" si="20"/>
        <v>-1</v>
      </c>
      <c r="O106" s="3"/>
    </row>
    <row r="107" spans="1:15" s="7" customFormat="1" ht="15" thickBot="1" x14ac:dyDescent="0.25">
      <c r="A107" s="6" t="s">
        <v>48</v>
      </c>
      <c r="B107" s="51">
        <f>SUM(B102:B106)</f>
        <v>99.849999999999952</v>
      </c>
      <c r="C107" s="51">
        <f t="shared" ref="C107:J107" si="85">SUM(C102:C106)</f>
        <v>98.104000000000013</v>
      </c>
      <c r="D107" s="51">
        <f t="shared" si="85"/>
        <v>61.357944660000022</v>
      </c>
      <c r="E107" s="51">
        <f t="shared" si="85"/>
        <v>67.460210050000072</v>
      </c>
      <c r="F107" s="51">
        <f t="shared" si="85"/>
        <v>65.859489350000246</v>
      </c>
      <c r="G107" s="51">
        <f>SUM(G102:G106)</f>
        <v>81.893222080000157</v>
      </c>
      <c r="H107" s="47"/>
      <c r="I107" s="51">
        <f t="shared" si="85"/>
        <v>128.8181547100001</v>
      </c>
      <c r="J107" s="51">
        <f t="shared" si="85"/>
        <v>147.75271143000015</v>
      </c>
      <c r="K107" s="6"/>
      <c r="L107" s="51">
        <f t="shared" si="50"/>
        <v>18.934556720000046</v>
      </c>
      <c r="M107" s="34">
        <f t="shared" si="20"/>
        <v>0.14698670977414774</v>
      </c>
      <c r="O107" s="3"/>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2" manualBreakCount="2">
    <brk id="36" max="12" man="1"/>
    <brk id="73" max="12" man="1"/>
  </rowBreaks>
  <ignoredErrors>
    <ignoredError sqref="B41:F42 B15:F15 I23:J26 I95:J107 I58:J73 I76:J93 I94"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09A09-A299-45FA-A01C-847C90FAC3F6}">
  <sheetPr>
    <pageSetUpPr fitToPage="1"/>
  </sheetPr>
  <dimension ref="A1:N61"/>
  <sheetViews>
    <sheetView showGridLines="0" zoomScaleNormal="100" workbookViewId="0">
      <selection activeCell="O5" sqref="O5"/>
    </sheetView>
  </sheetViews>
  <sheetFormatPr defaultRowHeight="14.25" x14ac:dyDescent="0.2"/>
  <cols>
    <col min="1" max="1" width="50.7109375" style="3" customWidth="1"/>
    <col min="2" max="7" width="9.140625" style="3"/>
    <col min="8" max="8" width="2.140625" style="3" customWidth="1"/>
    <col min="9" max="10" width="9.140625" style="3"/>
    <col min="11" max="11" width="2.140625" style="3" customWidth="1"/>
    <col min="12" max="13" width="9.140625" style="3"/>
    <col min="14" max="14" width="13.710937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83</v>
      </c>
      <c r="B3" s="5"/>
      <c r="C3" s="5"/>
      <c r="D3" s="5"/>
      <c r="E3" s="5"/>
      <c r="F3" s="5"/>
      <c r="G3" s="5"/>
      <c r="H3" s="5"/>
      <c r="I3" s="5"/>
      <c r="J3" s="5"/>
      <c r="K3" s="5"/>
      <c r="L3" s="5"/>
      <c r="M3" s="5"/>
      <c r="N3" s="5"/>
    </row>
    <row r="4" spans="1:14" s="7" customFormat="1" ht="12.75" x14ac:dyDescent="0.2"/>
    <row r="5" spans="1:14" s="7" customFormat="1" ht="13.5" thickBot="1" x14ac:dyDescent="0.25">
      <c r="B5" s="10" t="s">
        <v>49</v>
      </c>
      <c r="C5" s="10" t="s">
        <v>50</v>
      </c>
      <c r="D5" s="10" t="s">
        <v>51</v>
      </c>
      <c r="E5" s="10" t="s">
        <v>52</v>
      </c>
      <c r="F5" s="10" t="s">
        <v>53</v>
      </c>
      <c r="G5" s="10" t="s">
        <v>308</v>
      </c>
      <c r="I5" s="13" t="s">
        <v>305</v>
      </c>
      <c r="J5" s="13" t="s">
        <v>306</v>
      </c>
      <c r="K5" s="6"/>
      <c r="L5" s="13" t="s">
        <v>307</v>
      </c>
      <c r="M5" s="14"/>
    </row>
    <row r="6" spans="1:14" s="7" customFormat="1" ht="12.75" x14ac:dyDescent="0.2">
      <c r="A6" s="7" t="s">
        <v>277</v>
      </c>
      <c r="B6" s="47">
        <f>B25</f>
        <v>46.879999999999981</v>
      </c>
      <c r="C6" s="47">
        <f t="shared" ref="C6:G6" si="0">C25</f>
        <v>41.829999999999984</v>
      </c>
      <c r="D6" s="47">
        <f t="shared" si="0"/>
        <v>43.409999999999989</v>
      </c>
      <c r="E6" s="47">
        <f t="shared" si="0"/>
        <v>35.39</v>
      </c>
      <c r="F6" s="47">
        <f t="shared" si="0"/>
        <v>30.479999999999983</v>
      </c>
      <c r="G6" s="47">
        <f t="shared" si="0"/>
        <v>8.762641799999983</v>
      </c>
      <c r="H6" s="47"/>
      <c r="I6" s="47">
        <f>SUM(D6:E6)</f>
        <v>78.799999999999983</v>
      </c>
      <c r="J6" s="47">
        <f>SUM(F6:G6)</f>
        <v>39.242641799999966</v>
      </c>
      <c r="L6" s="47">
        <f>J6-I6</f>
        <v>-39.557358200000017</v>
      </c>
      <c r="M6" s="29">
        <f>+IF(I6&lt;&gt;0,IF(ABS((L6)/I6)&gt;1,"n/a ",(L6)/I6*SIGN(I6)),"n/a ")</f>
        <v>-0.50199693147208158</v>
      </c>
    </row>
    <row r="7" spans="1:14" s="7" customFormat="1" ht="12.75" x14ac:dyDescent="0.2">
      <c r="A7" s="7" t="s">
        <v>81</v>
      </c>
      <c r="B7" s="47">
        <f>B20</f>
        <v>97.509999999999991</v>
      </c>
      <c r="C7" s="47">
        <f t="shared" ref="C7:F7" si="1">C20</f>
        <v>90.579999999999984</v>
      </c>
      <c r="D7" s="47">
        <f t="shared" si="1"/>
        <v>92.41</v>
      </c>
      <c r="E7" s="47">
        <f t="shared" si="1"/>
        <v>85.33</v>
      </c>
      <c r="F7" s="47">
        <f t="shared" si="1"/>
        <v>82.079999999999984</v>
      </c>
      <c r="G7" s="47">
        <f t="shared" ref="G7" si="2">G20</f>
        <v>70.379452149999992</v>
      </c>
      <c r="H7" s="47"/>
      <c r="I7" s="47">
        <f>SUM(D7:E7)</f>
        <v>177.74</v>
      </c>
      <c r="J7" s="47">
        <f>SUM(F7:G7)</f>
        <v>152.45945214999998</v>
      </c>
      <c r="L7" s="47">
        <f t="shared" ref="L7:L8" si="3">J7-I7</f>
        <v>-25.280547850000033</v>
      </c>
      <c r="M7" s="29">
        <f t="shared" ref="M7" si="4">+IF(I7&lt;&gt;0,IF(ABS((L7)/I7)&gt;1,"n/a ",(L7)/I7*SIGN(I7)),"n/a ")</f>
        <v>-0.14223330623382488</v>
      </c>
    </row>
    <row r="8" spans="1:14" s="7" customFormat="1" ht="12.75" x14ac:dyDescent="0.2">
      <c r="A8" s="7" t="s">
        <v>73</v>
      </c>
      <c r="B8" s="87">
        <f t="shared" ref="B8:G8" si="5">ABS(B24/(SUM(B20:B22)-B19))</f>
        <v>0.53971526755031918</v>
      </c>
      <c r="C8" s="87">
        <f t="shared" si="5"/>
        <v>0.55364577773032997</v>
      </c>
      <c r="D8" s="87">
        <f t="shared" si="5"/>
        <v>0.54671388397041987</v>
      </c>
      <c r="E8" s="87">
        <f>ABS(E24/(SUM(E20:E22)-E19))</f>
        <v>0.59057100354731662</v>
      </c>
      <c r="F8" s="87">
        <f t="shared" si="5"/>
        <v>0.62630380050353696</v>
      </c>
      <c r="G8" s="87">
        <f t="shared" si="5"/>
        <v>0.87134209763408732</v>
      </c>
      <c r="I8" s="87">
        <f>ABS(I24/(SUM(I20:I22)-I19))</f>
        <v>0.56761177753544156</v>
      </c>
      <c r="J8" s="87">
        <f>ABS(J24/(SUM(J20:J22)-J19))</f>
        <v>0.74104644090639482</v>
      </c>
      <c r="L8" s="29">
        <f t="shared" si="3"/>
        <v>0.17343466337095326</v>
      </c>
      <c r="M8" s="29">
        <f>+IF(I8&lt;&gt;0,IF(ABS((L8)/I8)&gt;1,"n/a ",(L8)/I8*SIGN(I8)),"n/a ")</f>
        <v>0.30555155871501283</v>
      </c>
    </row>
    <row r="9" spans="1:14" s="7" customFormat="1" ht="12.75" x14ac:dyDescent="0.2"/>
    <row r="10" spans="1:14" ht="18" x14ac:dyDescent="0.25">
      <c r="A10" s="4" t="s">
        <v>262</v>
      </c>
      <c r="B10" s="5"/>
      <c r="C10" s="5"/>
      <c r="D10" s="5"/>
      <c r="E10" s="5"/>
      <c r="F10" s="5"/>
      <c r="G10" s="5"/>
      <c r="H10" s="5"/>
      <c r="I10" s="5"/>
      <c r="J10" s="5"/>
      <c r="K10" s="5"/>
      <c r="L10" s="5"/>
      <c r="M10" s="5"/>
      <c r="N10" s="5"/>
    </row>
    <row r="11" spans="1:14" s="7" customFormat="1" ht="12.75" x14ac:dyDescent="0.2"/>
    <row r="12" spans="1:14" s="7" customFormat="1" ht="12.75" x14ac:dyDescent="0.2">
      <c r="B12" s="9" t="s">
        <v>49</v>
      </c>
      <c r="C12" s="9" t="s">
        <v>50</v>
      </c>
      <c r="D12" s="9" t="s">
        <v>51</v>
      </c>
      <c r="E12" s="9" t="s">
        <v>52</v>
      </c>
      <c r="F12" s="9" t="s">
        <v>53</v>
      </c>
      <c r="G12" s="9" t="s">
        <v>308</v>
      </c>
      <c r="I12" s="11" t="s">
        <v>305</v>
      </c>
      <c r="J12" s="11" t="s">
        <v>306</v>
      </c>
      <c r="K12" s="6"/>
      <c r="L12" s="11" t="s">
        <v>307</v>
      </c>
      <c r="M12" s="12"/>
    </row>
    <row r="13" spans="1:14" s="7" customFormat="1" ht="13.5" thickBot="1" x14ac:dyDescent="0.25">
      <c r="B13" s="10" t="s">
        <v>54</v>
      </c>
      <c r="C13" s="10" t="s">
        <v>54</v>
      </c>
      <c r="D13" s="10" t="s">
        <v>54</v>
      </c>
      <c r="E13" s="10" t="s">
        <v>54</v>
      </c>
      <c r="F13" s="10" t="s">
        <v>54</v>
      </c>
      <c r="G13" s="10" t="s">
        <v>54</v>
      </c>
      <c r="I13" s="10" t="s">
        <v>54</v>
      </c>
      <c r="J13" s="10" t="s">
        <v>54</v>
      </c>
      <c r="K13" s="6"/>
      <c r="L13" s="10" t="s">
        <v>54</v>
      </c>
      <c r="M13" s="10" t="s">
        <v>55</v>
      </c>
    </row>
    <row r="14" spans="1:14" s="7" customFormat="1" ht="12.75" x14ac:dyDescent="0.2">
      <c r="A14" s="78" t="s">
        <v>1</v>
      </c>
    </row>
    <row r="15" spans="1:14" s="7" customFormat="1" ht="12.75" x14ac:dyDescent="0.2">
      <c r="A15" s="79" t="s">
        <v>2</v>
      </c>
      <c r="B15" s="47">
        <v>187.03</v>
      </c>
      <c r="C15" s="47">
        <v>182.97</v>
      </c>
      <c r="D15" s="47">
        <v>185.22</v>
      </c>
      <c r="E15" s="47">
        <v>170.58</v>
      </c>
      <c r="F15" s="47">
        <v>163.41</v>
      </c>
      <c r="G15" s="47">
        <v>145.39938996999999</v>
      </c>
      <c r="H15" s="47"/>
      <c r="I15" s="47">
        <f>SUM(D15:E15)</f>
        <v>355.8</v>
      </c>
      <c r="J15" s="47">
        <f>SUM(F15:G15)</f>
        <v>308.80938996999998</v>
      </c>
      <c r="L15" s="47">
        <f t="shared" ref="L15" si="6">J15-I15</f>
        <v>-46.990610030000028</v>
      </c>
      <c r="M15" s="29">
        <f t="shared" ref="M15" si="7">+IF(I15&lt;&gt;0,IF(ABS((L15)/I15)&gt;1,"n/a ",(L15)/I15*SIGN(I15)),"n/a ")</f>
        <v>-0.13207029238336151</v>
      </c>
    </row>
    <row r="16" spans="1:14" s="7" customFormat="1" ht="12.75" x14ac:dyDescent="0.2">
      <c r="A16" s="79" t="s">
        <v>3</v>
      </c>
      <c r="B16" s="47">
        <v>7.89</v>
      </c>
      <c r="C16" s="47">
        <v>7.79</v>
      </c>
      <c r="D16" s="47">
        <v>7.74</v>
      </c>
      <c r="E16" s="47">
        <v>9.5399999999999991</v>
      </c>
      <c r="F16" s="47">
        <v>9.2899999999999991</v>
      </c>
      <c r="G16" s="47">
        <v>8.8174760400000007</v>
      </c>
      <c r="H16" s="47"/>
      <c r="I16" s="47">
        <f t="shared" ref="I16:I19" si="8">SUM(D16:E16)</f>
        <v>17.28</v>
      </c>
      <c r="J16" s="47">
        <f t="shared" ref="J16:J19" si="9">SUM(F16:G16)</f>
        <v>18.107476040000002</v>
      </c>
      <c r="L16" s="47">
        <f t="shared" ref="L16:L25" si="10">J16-I16</f>
        <v>0.82747604000000052</v>
      </c>
      <c r="M16" s="35">
        <f t="shared" ref="M16:M25" si="11">+IF(I16&lt;&gt;0,IF(ABS((L16)/I16)&gt;1,"n/a ",(L16)/I16*SIGN(I16)),"n/a ")</f>
        <v>4.7886344907407431E-2</v>
      </c>
    </row>
    <row r="17" spans="1:14" s="7" customFormat="1" ht="12.75" x14ac:dyDescent="0.2">
      <c r="A17" s="79" t="s">
        <v>4</v>
      </c>
      <c r="B17" s="47">
        <v>-90.62</v>
      </c>
      <c r="C17" s="47">
        <v>-92.92</v>
      </c>
      <c r="D17" s="47">
        <v>-94.73</v>
      </c>
      <c r="E17" s="47">
        <v>-89.2</v>
      </c>
      <c r="F17" s="47">
        <v>-85.29</v>
      </c>
      <c r="G17" s="47">
        <v>-81.344907370000001</v>
      </c>
      <c r="H17" s="47"/>
      <c r="I17" s="47">
        <f t="shared" si="8"/>
        <v>-183.93</v>
      </c>
      <c r="J17" s="47">
        <f t="shared" si="9"/>
        <v>-166.63490737000001</v>
      </c>
      <c r="L17" s="47">
        <f t="shared" si="10"/>
        <v>17.295092629999999</v>
      </c>
      <c r="M17" s="35">
        <f t="shared" si="11"/>
        <v>9.4030841243951502E-2</v>
      </c>
    </row>
    <row r="18" spans="1:14" s="7" customFormat="1" ht="12.75" x14ac:dyDescent="0.2">
      <c r="A18" s="79" t="s">
        <v>5</v>
      </c>
      <c r="B18" s="47">
        <v>-6.77</v>
      </c>
      <c r="C18" s="47">
        <v>-7.26</v>
      </c>
      <c r="D18" s="47">
        <v>-5.82</v>
      </c>
      <c r="E18" s="47">
        <v>-5.59</v>
      </c>
      <c r="F18" s="47">
        <v>-5.33</v>
      </c>
      <c r="G18" s="47">
        <v>-2.4925064899999994</v>
      </c>
      <c r="H18" s="47"/>
      <c r="I18" s="47">
        <f t="shared" si="8"/>
        <v>-11.41</v>
      </c>
      <c r="J18" s="47">
        <f t="shared" si="9"/>
        <v>-7.8225064899999994</v>
      </c>
      <c r="L18" s="47">
        <f t="shared" si="10"/>
        <v>3.5874935100000007</v>
      </c>
      <c r="M18" s="35">
        <f>+IF(I18&lt;&gt;0,IF(ABS((L18)/I18)&gt;1,"n/a ",(L18)/I18*SIGN(I18)),"n/a ")</f>
        <v>0.31441660911481162</v>
      </c>
    </row>
    <row r="19" spans="1:14" s="7" customFormat="1" ht="12.75" x14ac:dyDescent="0.2">
      <c r="A19" s="79" t="s">
        <v>6</v>
      </c>
      <c r="B19" s="48">
        <v>-0.02</v>
      </c>
      <c r="C19" s="48">
        <v>0</v>
      </c>
      <c r="D19" s="48">
        <v>0</v>
      </c>
      <c r="E19" s="48">
        <v>0</v>
      </c>
      <c r="F19" s="48">
        <v>0</v>
      </c>
      <c r="G19" s="48">
        <v>0</v>
      </c>
      <c r="H19" s="47"/>
      <c r="I19" s="48">
        <f t="shared" si="8"/>
        <v>0</v>
      </c>
      <c r="J19" s="48">
        <f t="shared" si="9"/>
        <v>0</v>
      </c>
      <c r="K19" s="42"/>
      <c r="L19" s="55">
        <f t="shared" si="10"/>
        <v>0</v>
      </c>
      <c r="M19" s="43" t="str">
        <f t="shared" si="11"/>
        <v xml:space="preserve">n/a </v>
      </c>
    </row>
    <row r="20" spans="1:14" s="7" customFormat="1" ht="12.75" x14ac:dyDescent="0.2">
      <c r="A20" s="78" t="s">
        <v>7</v>
      </c>
      <c r="B20" s="50">
        <f>SUM(B15:B19)</f>
        <v>97.509999999999991</v>
      </c>
      <c r="C20" s="50">
        <f t="shared" ref="C20:J20" si="12">SUM(C15:C19)</f>
        <v>90.579999999999984</v>
      </c>
      <c r="D20" s="50">
        <f t="shared" si="12"/>
        <v>92.41</v>
      </c>
      <c r="E20" s="50">
        <f t="shared" si="12"/>
        <v>85.33</v>
      </c>
      <c r="F20" s="50">
        <f t="shared" si="12"/>
        <v>82.079999999999984</v>
      </c>
      <c r="G20" s="50">
        <f t="shared" si="12"/>
        <v>70.379452149999992</v>
      </c>
      <c r="H20" s="47"/>
      <c r="I20" s="50">
        <f>SUM(I15:I19)</f>
        <v>177.74000000000004</v>
      </c>
      <c r="J20" s="50">
        <f t="shared" si="12"/>
        <v>152.45945214999998</v>
      </c>
      <c r="K20" s="40"/>
      <c r="L20" s="56">
        <f t="shared" si="10"/>
        <v>-25.280547850000062</v>
      </c>
      <c r="M20" s="39">
        <f t="shared" si="11"/>
        <v>-0.14223330623382502</v>
      </c>
    </row>
    <row r="21" spans="1:14" s="7" customFormat="1" ht="12.75" x14ac:dyDescent="0.2">
      <c r="A21" s="78"/>
      <c r="B21" s="50"/>
      <c r="C21" s="50"/>
      <c r="D21" s="50"/>
      <c r="E21" s="50"/>
      <c r="F21" s="50"/>
      <c r="G21" s="50"/>
      <c r="H21" s="47"/>
      <c r="I21" s="50"/>
      <c r="J21" s="50"/>
      <c r="K21" s="40"/>
      <c r="L21" s="56"/>
      <c r="M21" s="39"/>
    </row>
    <row r="22" spans="1:14" s="7" customFormat="1" ht="12.75" x14ac:dyDescent="0.2">
      <c r="A22" s="79" t="s">
        <v>8</v>
      </c>
      <c r="B22" s="47">
        <v>4.32</v>
      </c>
      <c r="C22" s="47">
        <v>3.09</v>
      </c>
      <c r="D22" s="47">
        <v>3.6</v>
      </c>
      <c r="E22" s="47">
        <v>2.06</v>
      </c>
      <c r="F22" s="47">
        <v>1.33</v>
      </c>
      <c r="G22" s="47">
        <v>3.0741369900000008</v>
      </c>
      <c r="H22" s="47"/>
      <c r="I22" s="47">
        <f t="shared" ref="I22" si="13">SUM(D22:E22)</f>
        <v>5.66</v>
      </c>
      <c r="J22" s="47">
        <f t="shared" ref="J22" si="14">SUM(F22:G22)</f>
        <v>4.4041369900000014</v>
      </c>
      <c r="K22" s="42"/>
      <c r="L22" s="57">
        <f t="shared" si="10"/>
        <v>-1.2558630099999988</v>
      </c>
      <c r="M22" s="41">
        <f t="shared" si="11"/>
        <v>-0.22188392402826834</v>
      </c>
    </row>
    <row r="23" spans="1:14" s="7" customFormat="1" ht="12.75" x14ac:dyDescent="0.2">
      <c r="A23" s="79" t="s">
        <v>15</v>
      </c>
      <c r="B23" s="47">
        <v>0.02</v>
      </c>
      <c r="C23" s="47">
        <v>0.02</v>
      </c>
      <c r="D23" s="47">
        <v>-0.11</v>
      </c>
      <c r="E23" s="47">
        <v>-0.39</v>
      </c>
      <c r="F23" s="47">
        <v>-0.69</v>
      </c>
      <c r="G23" s="47">
        <v>-0.68774290000000016</v>
      </c>
      <c r="H23" s="47"/>
      <c r="I23" s="47">
        <f>SUM(D23:E23)</f>
        <v>-0.5</v>
      </c>
      <c r="J23" s="47">
        <f>SUM(F23:G23)</f>
        <v>-1.3777429000000001</v>
      </c>
      <c r="K23" s="42"/>
      <c r="L23" s="57">
        <f t="shared" si="10"/>
        <v>-0.8777429000000001</v>
      </c>
      <c r="M23" s="41" t="str">
        <f t="shared" si="11"/>
        <v xml:space="preserve">n/a </v>
      </c>
    </row>
    <row r="24" spans="1:14" s="7" customFormat="1" ht="12.75" x14ac:dyDescent="0.2">
      <c r="A24" s="79" t="s">
        <v>259</v>
      </c>
      <c r="B24" s="47">
        <v>-54.97</v>
      </c>
      <c r="C24" s="47">
        <v>-51.86</v>
      </c>
      <c r="D24" s="47">
        <v>-52.49</v>
      </c>
      <c r="E24" s="47">
        <v>-51.61</v>
      </c>
      <c r="F24" s="47">
        <v>-52.24</v>
      </c>
      <c r="G24" s="47">
        <v>-64.003204440000005</v>
      </c>
      <c r="H24" s="47"/>
      <c r="I24" s="47">
        <f t="shared" ref="I24" si="15">SUM(D24:E24)</f>
        <v>-104.1</v>
      </c>
      <c r="J24" s="47">
        <f t="shared" ref="J24" si="16">SUM(F24:G24)</f>
        <v>-116.24320444</v>
      </c>
      <c r="K24" s="42"/>
      <c r="L24" s="57">
        <f t="shared" si="10"/>
        <v>-12.143204440000005</v>
      </c>
      <c r="M24" s="41">
        <f t="shared" si="11"/>
        <v>-0.11664941825168114</v>
      </c>
    </row>
    <row r="25" spans="1:14" s="7" customFormat="1" ht="13.5" thickBot="1" x14ac:dyDescent="0.25">
      <c r="A25" s="78" t="s">
        <v>276</v>
      </c>
      <c r="B25" s="53">
        <f>SUM(B20:B24)</f>
        <v>46.879999999999981</v>
      </c>
      <c r="C25" s="53">
        <f t="shared" ref="C25:J25" si="17">SUM(C20:C24)</f>
        <v>41.829999999999984</v>
      </c>
      <c r="D25" s="53">
        <f t="shared" si="17"/>
        <v>43.409999999999989</v>
      </c>
      <c r="E25" s="53">
        <f t="shared" si="17"/>
        <v>35.39</v>
      </c>
      <c r="F25" s="53">
        <f t="shared" si="17"/>
        <v>30.479999999999983</v>
      </c>
      <c r="G25" s="53">
        <f t="shared" si="17"/>
        <v>8.762641799999983</v>
      </c>
      <c r="H25" s="47"/>
      <c r="I25" s="53">
        <f t="shared" si="17"/>
        <v>78.80000000000004</v>
      </c>
      <c r="J25" s="53">
        <f t="shared" si="17"/>
        <v>39.242641800000001</v>
      </c>
      <c r="K25" s="40"/>
      <c r="L25" s="58">
        <f t="shared" si="10"/>
        <v>-39.557358200000039</v>
      </c>
      <c r="M25" s="44">
        <f t="shared" si="11"/>
        <v>-0.50199693147208146</v>
      </c>
    </row>
    <row r="26" spans="1:14" ht="15" thickTop="1" x14ac:dyDescent="0.2">
      <c r="A26" s="80"/>
    </row>
    <row r="27" spans="1:14" ht="18" x14ac:dyDescent="0.25">
      <c r="A27" s="4" t="s">
        <v>333</v>
      </c>
      <c r="B27" s="5"/>
      <c r="C27" s="5"/>
      <c r="D27" s="5"/>
      <c r="E27" s="5"/>
      <c r="F27" s="5"/>
      <c r="G27" s="5"/>
      <c r="H27" s="5"/>
      <c r="I27" s="5"/>
      <c r="J27" s="5"/>
      <c r="K27" s="5"/>
      <c r="L27" s="5"/>
      <c r="M27" s="5"/>
      <c r="N27" s="5"/>
    </row>
    <row r="28" spans="1:14" s="7" customFormat="1" ht="12.75" x14ac:dyDescent="0.2"/>
    <row r="29" spans="1:14" s="7" customFormat="1" ht="12.75" x14ac:dyDescent="0.2">
      <c r="B29" s="9" t="s">
        <v>49</v>
      </c>
      <c r="C29" s="9" t="s">
        <v>50</v>
      </c>
      <c r="D29" s="9" t="s">
        <v>51</v>
      </c>
      <c r="E29" s="9" t="s">
        <v>52</v>
      </c>
      <c r="F29" s="9" t="s">
        <v>53</v>
      </c>
      <c r="G29" s="9" t="s">
        <v>308</v>
      </c>
      <c r="I29" s="11" t="s">
        <v>305</v>
      </c>
      <c r="J29" s="11" t="s">
        <v>306</v>
      </c>
      <c r="K29" s="6"/>
      <c r="L29" s="11" t="s">
        <v>307</v>
      </c>
      <c r="M29" s="12"/>
    </row>
    <row r="30" spans="1:14" s="7" customFormat="1" ht="13.5" thickBot="1" x14ac:dyDescent="0.25">
      <c r="B30" s="10" t="s">
        <v>54</v>
      </c>
      <c r="C30" s="10" t="s">
        <v>54</v>
      </c>
      <c r="D30" s="10" t="s">
        <v>54</v>
      </c>
      <c r="E30" s="10" t="s">
        <v>54</v>
      </c>
      <c r="F30" s="10" t="s">
        <v>54</v>
      </c>
      <c r="G30" s="10" t="s">
        <v>54</v>
      </c>
      <c r="I30" s="10" t="s">
        <v>54</v>
      </c>
      <c r="J30" s="10" t="s">
        <v>54</v>
      </c>
      <c r="K30" s="6"/>
      <c r="L30" s="10" t="s">
        <v>54</v>
      </c>
      <c r="M30" s="10" t="s">
        <v>55</v>
      </c>
    </row>
    <row r="31" spans="1:14" s="7" customFormat="1" ht="12.75" x14ac:dyDescent="0.2">
      <c r="A31" s="78" t="s">
        <v>1</v>
      </c>
    </row>
    <row r="32" spans="1:14" s="7" customFormat="1" ht="12.75" x14ac:dyDescent="0.2">
      <c r="A32" s="79" t="s">
        <v>2</v>
      </c>
      <c r="B32" s="47">
        <v>187.03</v>
      </c>
      <c r="C32" s="47">
        <v>182.97</v>
      </c>
      <c r="D32" s="47">
        <v>185.22</v>
      </c>
      <c r="E32" s="47">
        <v>170.58</v>
      </c>
      <c r="F32" s="47">
        <v>163.41</v>
      </c>
      <c r="G32" s="47">
        <f>G15-G49</f>
        <v>127.70482059</v>
      </c>
      <c r="H32" s="47"/>
      <c r="I32" s="47">
        <f>SUM(D32:E32)</f>
        <v>355.8</v>
      </c>
      <c r="J32" s="47">
        <f>SUM(F32:G32)</f>
        <v>291.11482059000002</v>
      </c>
      <c r="L32" s="47">
        <f t="shared" ref="L32:L37" si="18">J32-I32</f>
        <v>-64.685179409999989</v>
      </c>
      <c r="M32" s="29">
        <f t="shared" ref="M32:M37" si="19">+IF(I32&lt;&gt;0,IF(ABS((L32)/I32)&gt;1,"n/a ",(L32)/I32*SIGN(I32)),"n/a ")</f>
        <v>-0.18180207816188867</v>
      </c>
    </row>
    <row r="33" spans="1:14" s="7" customFormat="1" ht="12.75" x14ac:dyDescent="0.2">
      <c r="A33" s="79" t="s">
        <v>3</v>
      </c>
      <c r="B33" s="47">
        <v>7.89</v>
      </c>
      <c r="C33" s="47">
        <v>7.79</v>
      </c>
      <c r="D33" s="47">
        <v>7.74</v>
      </c>
      <c r="E33" s="47">
        <v>9.5399999999999991</v>
      </c>
      <c r="F33" s="47">
        <v>9.2899999999999991</v>
      </c>
      <c r="G33" s="47">
        <f t="shared" ref="G33:G36" si="20">G16-G50</f>
        <v>8.6075391400000001</v>
      </c>
      <c r="H33" s="47"/>
      <c r="I33" s="47">
        <f>SUM(D33:E33)</f>
        <v>17.28</v>
      </c>
      <c r="J33" s="47">
        <f t="shared" ref="J33:J36" si="21">SUM(F33:G33)</f>
        <v>17.897539139999999</v>
      </c>
      <c r="L33" s="47">
        <f t="shared" si="18"/>
        <v>0.6175391399999981</v>
      </c>
      <c r="M33" s="35">
        <f t="shared" si="19"/>
        <v>3.573721874999989E-2</v>
      </c>
    </row>
    <row r="34" spans="1:14" s="7" customFormat="1" ht="12.75" x14ac:dyDescent="0.2">
      <c r="A34" s="79" t="s">
        <v>4</v>
      </c>
      <c r="B34" s="47">
        <v>-90.62</v>
      </c>
      <c r="C34" s="47">
        <v>-92.92</v>
      </c>
      <c r="D34" s="47">
        <v>-94.73</v>
      </c>
      <c r="E34" s="47">
        <v>-89.2</v>
      </c>
      <c r="F34" s="47">
        <v>-85.29</v>
      </c>
      <c r="G34" s="47">
        <f t="shared" si="20"/>
        <v>-68.690009840000002</v>
      </c>
      <c r="H34" s="47"/>
      <c r="I34" s="47">
        <f t="shared" ref="I34:I36" si="22">SUM(D34:E34)</f>
        <v>-183.93</v>
      </c>
      <c r="J34" s="47">
        <f t="shared" si="21"/>
        <v>-153.98000984000001</v>
      </c>
      <c r="L34" s="47">
        <f>J34-I34</f>
        <v>29.949990159999999</v>
      </c>
      <c r="M34" s="35">
        <f t="shared" si="19"/>
        <v>0.16283363323003316</v>
      </c>
    </row>
    <row r="35" spans="1:14" s="7" customFormat="1" ht="12.75" x14ac:dyDescent="0.2">
      <c r="A35" s="79" t="s">
        <v>5</v>
      </c>
      <c r="B35" s="47">
        <v>-6.77</v>
      </c>
      <c r="C35" s="47">
        <v>-7.26</v>
      </c>
      <c r="D35" s="47">
        <v>-5.82</v>
      </c>
      <c r="E35" s="47">
        <v>-5.59</v>
      </c>
      <c r="F35" s="47">
        <v>-5.33</v>
      </c>
      <c r="G35" s="47">
        <f t="shared" si="20"/>
        <v>-2.4925064899999994</v>
      </c>
      <c r="H35" s="47"/>
      <c r="I35" s="47">
        <f t="shared" si="22"/>
        <v>-11.41</v>
      </c>
      <c r="J35" s="47">
        <f t="shared" si="21"/>
        <v>-7.8225064899999994</v>
      </c>
      <c r="L35" s="47">
        <f t="shared" si="18"/>
        <v>3.5874935100000007</v>
      </c>
      <c r="M35" s="35">
        <f>+IF(I35&lt;&gt;0,IF(ABS((L35)/I35)&gt;1,"n/a ",(L35)/I35*SIGN(I35)),"n/a ")</f>
        <v>0.31441660911481162</v>
      </c>
    </row>
    <row r="36" spans="1:14" s="7" customFormat="1" ht="12.75" x14ac:dyDescent="0.2">
      <c r="A36" s="79" t="s">
        <v>6</v>
      </c>
      <c r="B36" s="48">
        <v>-0.02</v>
      </c>
      <c r="C36" s="48">
        <v>0</v>
      </c>
      <c r="D36" s="48">
        <v>0</v>
      </c>
      <c r="E36" s="48">
        <v>0</v>
      </c>
      <c r="F36" s="48">
        <v>0</v>
      </c>
      <c r="G36" s="48">
        <f t="shared" si="20"/>
        <v>0</v>
      </c>
      <c r="H36" s="47"/>
      <c r="I36" s="48">
        <f t="shared" si="22"/>
        <v>0</v>
      </c>
      <c r="J36" s="48">
        <f t="shared" si="21"/>
        <v>0</v>
      </c>
      <c r="K36" s="42"/>
      <c r="L36" s="55">
        <f t="shared" si="18"/>
        <v>0</v>
      </c>
      <c r="M36" s="43" t="str">
        <f t="shared" si="19"/>
        <v xml:space="preserve">n/a </v>
      </c>
    </row>
    <row r="37" spans="1:14" s="7" customFormat="1" ht="12.75" x14ac:dyDescent="0.2">
      <c r="A37" s="78" t="s">
        <v>7</v>
      </c>
      <c r="B37" s="50">
        <f>SUM(B32:B36)</f>
        <v>97.509999999999991</v>
      </c>
      <c r="C37" s="50">
        <f t="shared" ref="C37:G37" si="23">SUM(C32:C36)</f>
        <v>90.579999999999984</v>
      </c>
      <c r="D37" s="50">
        <f t="shared" si="23"/>
        <v>92.41</v>
      </c>
      <c r="E37" s="50">
        <f t="shared" si="23"/>
        <v>85.33</v>
      </c>
      <c r="F37" s="50">
        <f t="shared" si="23"/>
        <v>82.079999999999984</v>
      </c>
      <c r="G37" s="50">
        <f t="shared" si="23"/>
        <v>65.129843399999999</v>
      </c>
      <c r="H37" s="47"/>
      <c r="I37" s="50">
        <f>SUM(I32:I36)</f>
        <v>177.74000000000004</v>
      </c>
      <c r="J37" s="50">
        <f t="shared" ref="J37" si="24">SUM(J32:J36)</f>
        <v>147.20984340000001</v>
      </c>
      <c r="K37" s="40"/>
      <c r="L37" s="56">
        <f t="shared" si="18"/>
        <v>-30.530156600000026</v>
      </c>
      <c r="M37" s="39">
        <f t="shared" si="19"/>
        <v>-0.17176863170923831</v>
      </c>
    </row>
    <row r="38" spans="1:14" s="7" customFormat="1" ht="12.75" x14ac:dyDescent="0.2">
      <c r="A38" s="78"/>
      <c r="B38" s="50"/>
      <c r="C38" s="50"/>
      <c r="D38" s="50"/>
      <c r="E38" s="50"/>
      <c r="F38" s="50"/>
      <c r="G38" s="50"/>
      <c r="H38" s="47"/>
      <c r="I38" s="50"/>
      <c r="J38" s="50"/>
      <c r="K38" s="40"/>
      <c r="L38" s="56"/>
      <c r="M38" s="39"/>
    </row>
    <row r="39" spans="1:14" s="7" customFormat="1" ht="12.75" x14ac:dyDescent="0.2">
      <c r="A39" s="79" t="s">
        <v>8</v>
      </c>
      <c r="B39" s="47">
        <v>4.32</v>
      </c>
      <c r="C39" s="47">
        <v>3.09</v>
      </c>
      <c r="D39" s="47">
        <v>3.6</v>
      </c>
      <c r="E39" s="47">
        <v>2.06</v>
      </c>
      <c r="F39" s="47">
        <v>1.33</v>
      </c>
      <c r="G39" s="47">
        <f t="shared" ref="G39:G41" si="25">G22-G56</f>
        <v>3.0741369900000008</v>
      </c>
      <c r="H39" s="47"/>
      <c r="I39" s="47">
        <f t="shared" ref="I39" si="26">SUM(D39:E39)</f>
        <v>5.66</v>
      </c>
      <c r="J39" s="47">
        <f t="shared" ref="J39" si="27">SUM(F39:G39)</f>
        <v>4.4041369900000014</v>
      </c>
      <c r="K39" s="42"/>
      <c r="L39" s="57">
        <f>J39-I39</f>
        <v>-1.2558630099999988</v>
      </c>
      <c r="M39" s="41">
        <f t="shared" ref="M39:M42" si="28">+IF(I39&lt;&gt;0,IF(ABS((L39)/I39)&gt;1,"n/a ",(L39)/I39*SIGN(I39)),"n/a ")</f>
        <v>-0.22188392402826834</v>
      </c>
    </row>
    <row r="40" spans="1:14" s="7" customFormat="1" ht="12.75" x14ac:dyDescent="0.2">
      <c r="A40" s="79" t="s">
        <v>15</v>
      </c>
      <c r="B40" s="47">
        <v>0.02</v>
      </c>
      <c r="C40" s="47">
        <v>0.02</v>
      </c>
      <c r="D40" s="47">
        <v>-0.11</v>
      </c>
      <c r="E40" s="47">
        <v>-0.39</v>
      </c>
      <c r="F40" s="47">
        <v>-0.69</v>
      </c>
      <c r="G40" s="47">
        <f t="shared" si="25"/>
        <v>-0.68774290000000016</v>
      </c>
      <c r="H40" s="47"/>
      <c r="I40" s="47">
        <f>SUM(D40:E40)</f>
        <v>-0.5</v>
      </c>
      <c r="J40" s="47">
        <f>SUM(F40:G40)</f>
        <v>-1.3777429000000001</v>
      </c>
      <c r="K40" s="42"/>
      <c r="L40" s="57">
        <f t="shared" ref="L40:L42" si="29">J40-I40</f>
        <v>-0.8777429000000001</v>
      </c>
      <c r="M40" s="41" t="str">
        <f t="shared" si="28"/>
        <v xml:space="preserve">n/a </v>
      </c>
    </row>
    <row r="41" spans="1:14" s="7" customFormat="1" ht="12.75" x14ac:dyDescent="0.2">
      <c r="A41" s="79" t="s">
        <v>259</v>
      </c>
      <c r="B41" s="47">
        <v>-54.97</v>
      </c>
      <c r="C41" s="47">
        <v>-51.86</v>
      </c>
      <c r="D41" s="47">
        <v>-52.49</v>
      </c>
      <c r="E41" s="47">
        <v>-51.61</v>
      </c>
      <c r="F41" s="47">
        <v>-52.24</v>
      </c>
      <c r="G41" s="47">
        <f t="shared" si="25"/>
        <v>-51.304502440000007</v>
      </c>
      <c r="H41" s="47"/>
      <c r="I41" s="47">
        <f t="shared" ref="I41" si="30">SUM(D41:E41)</f>
        <v>-104.1</v>
      </c>
      <c r="J41" s="47">
        <f t="shared" ref="J41" si="31">SUM(F41:G41)</f>
        <v>-103.54450244</v>
      </c>
      <c r="K41" s="42"/>
      <c r="L41" s="57">
        <f t="shared" si="29"/>
        <v>0.55549755999999206</v>
      </c>
      <c r="M41" s="41">
        <f t="shared" si="28"/>
        <v>5.3361917387127001E-3</v>
      </c>
    </row>
    <row r="42" spans="1:14" s="7" customFormat="1" ht="13.5" thickBot="1" x14ac:dyDescent="0.25">
      <c r="A42" s="78" t="s">
        <v>276</v>
      </c>
      <c r="B42" s="53">
        <f>SUM(B37:B41)</f>
        <v>46.879999999999981</v>
      </c>
      <c r="C42" s="53">
        <f t="shared" ref="C42:G42" si="32">SUM(C37:C41)</f>
        <v>41.829999999999984</v>
      </c>
      <c r="D42" s="53">
        <f t="shared" si="32"/>
        <v>43.409999999999989</v>
      </c>
      <c r="E42" s="53">
        <f t="shared" si="32"/>
        <v>35.39</v>
      </c>
      <c r="F42" s="53">
        <f t="shared" si="32"/>
        <v>30.479999999999983</v>
      </c>
      <c r="G42" s="53">
        <f t="shared" si="32"/>
        <v>16.211735049999987</v>
      </c>
      <c r="H42" s="47"/>
      <c r="I42" s="53">
        <f t="shared" ref="I42:J42" si="33">SUM(I37:I41)</f>
        <v>78.80000000000004</v>
      </c>
      <c r="J42" s="53">
        <f t="shared" si="33"/>
        <v>46.691735050000034</v>
      </c>
      <c r="K42" s="40"/>
      <c r="L42" s="58">
        <f t="shared" si="29"/>
        <v>-32.108264950000006</v>
      </c>
      <c r="M42" s="44">
        <f t="shared" si="28"/>
        <v>-0.40746529124365471</v>
      </c>
    </row>
    <row r="43" spans="1:14" ht="15" thickTop="1" x14ac:dyDescent="0.2">
      <c r="A43" s="80"/>
    </row>
    <row r="44" spans="1:14" ht="18" x14ac:dyDescent="0.25">
      <c r="A44" s="4" t="s">
        <v>329</v>
      </c>
      <c r="B44" s="5"/>
      <c r="C44" s="5"/>
      <c r="D44" s="5"/>
      <c r="E44" s="5"/>
      <c r="F44" s="5"/>
      <c r="G44" s="5"/>
      <c r="H44" s="5"/>
      <c r="I44" s="5"/>
      <c r="J44" s="5"/>
      <c r="K44" s="5"/>
      <c r="L44" s="5"/>
      <c r="M44" s="5"/>
      <c r="N44" s="5"/>
    </row>
    <row r="45" spans="1:14" x14ac:dyDescent="0.2">
      <c r="A45" s="27" t="s">
        <v>330</v>
      </c>
    </row>
    <row r="46" spans="1:14" s="7" customFormat="1" ht="12.75" x14ac:dyDescent="0.2">
      <c r="B46" s="15"/>
      <c r="C46" s="15"/>
      <c r="D46" s="15"/>
      <c r="E46" s="15"/>
      <c r="F46" s="15"/>
      <c r="G46" s="136" t="s">
        <v>331</v>
      </c>
      <c r="I46" s="16"/>
      <c r="J46" s="16"/>
      <c r="K46" s="19"/>
      <c r="L46" s="16"/>
      <c r="M46" s="17"/>
    </row>
    <row r="47" spans="1:14" s="7" customFormat="1" ht="13.5" thickBot="1" x14ac:dyDescent="0.25">
      <c r="B47" s="15"/>
      <c r="C47" s="15"/>
      <c r="D47" s="15"/>
      <c r="E47" s="15"/>
      <c r="F47" s="15"/>
      <c r="G47" s="10" t="s">
        <v>54</v>
      </c>
      <c r="I47" s="15"/>
      <c r="J47" s="15"/>
      <c r="K47" s="19"/>
      <c r="L47" s="15"/>
      <c r="M47" s="15"/>
    </row>
    <row r="48" spans="1:14" s="7" customFormat="1" ht="12.75" x14ac:dyDescent="0.2">
      <c r="A48" s="78" t="s">
        <v>1</v>
      </c>
      <c r="B48" s="20"/>
      <c r="C48" s="20"/>
      <c r="D48" s="20"/>
      <c r="E48" s="20"/>
      <c r="F48" s="20"/>
      <c r="I48" s="20"/>
      <c r="J48" s="20"/>
      <c r="K48" s="20"/>
      <c r="L48" s="20"/>
      <c r="M48" s="20"/>
    </row>
    <row r="49" spans="1:13" s="7" customFormat="1" ht="12.75" x14ac:dyDescent="0.2">
      <c r="A49" s="79" t="s">
        <v>2</v>
      </c>
      <c r="B49" s="91"/>
      <c r="C49" s="91"/>
      <c r="D49" s="91"/>
      <c r="E49" s="91"/>
      <c r="F49" s="91"/>
      <c r="G49" s="47">
        <v>17.694569379999997</v>
      </c>
      <c r="H49" s="47"/>
      <c r="I49" s="91"/>
      <c r="J49" s="91"/>
      <c r="K49" s="20"/>
      <c r="L49" s="91"/>
      <c r="M49" s="129"/>
    </row>
    <row r="50" spans="1:13" s="7" customFormat="1" ht="12.75" x14ac:dyDescent="0.2">
      <c r="A50" s="79" t="s">
        <v>3</v>
      </c>
      <c r="B50" s="91"/>
      <c r="C50" s="91"/>
      <c r="D50" s="91"/>
      <c r="E50" s="91"/>
      <c r="F50" s="91"/>
      <c r="G50" s="47">
        <v>0.20993689999999998</v>
      </c>
      <c r="H50" s="47"/>
      <c r="I50" s="91"/>
      <c r="J50" s="91"/>
      <c r="K50" s="20"/>
      <c r="L50" s="91"/>
      <c r="M50" s="130"/>
    </row>
    <row r="51" spans="1:13" s="7" customFormat="1" ht="12.75" x14ac:dyDescent="0.2">
      <c r="A51" s="79" t="s">
        <v>4</v>
      </c>
      <c r="B51" s="91"/>
      <c r="C51" s="91"/>
      <c r="D51" s="91"/>
      <c r="E51" s="91"/>
      <c r="F51" s="91"/>
      <c r="G51" s="47">
        <v>-12.65489753</v>
      </c>
      <c r="H51" s="47"/>
      <c r="I51" s="91"/>
      <c r="J51" s="91"/>
      <c r="K51" s="20"/>
      <c r="L51" s="91"/>
      <c r="M51" s="130"/>
    </row>
    <row r="52" spans="1:13" s="7" customFormat="1" ht="12.75" x14ac:dyDescent="0.2">
      <c r="A52" s="79" t="s">
        <v>5</v>
      </c>
      <c r="B52" s="91"/>
      <c r="C52" s="91"/>
      <c r="D52" s="91"/>
      <c r="E52" s="91"/>
      <c r="F52" s="91"/>
      <c r="G52" s="47">
        <v>0</v>
      </c>
      <c r="H52" s="47"/>
      <c r="I52" s="91"/>
      <c r="J52" s="91"/>
      <c r="K52" s="20"/>
      <c r="L52" s="91"/>
      <c r="M52" s="130"/>
    </row>
    <row r="53" spans="1:13" s="7" customFormat="1" ht="12.75" x14ac:dyDescent="0.2">
      <c r="A53" s="79" t="s">
        <v>6</v>
      </c>
      <c r="B53" s="91"/>
      <c r="C53" s="91"/>
      <c r="D53" s="91"/>
      <c r="E53" s="91"/>
      <c r="F53" s="91"/>
      <c r="G53" s="48">
        <v>0</v>
      </c>
      <c r="H53" s="47"/>
      <c r="I53" s="91"/>
      <c r="J53" s="91"/>
      <c r="K53" s="131"/>
      <c r="L53" s="132"/>
      <c r="M53" s="133"/>
    </row>
    <row r="54" spans="1:13" s="7" customFormat="1" ht="12.75" x14ac:dyDescent="0.2">
      <c r="A54" s="78" t="s">
        <v>7</v>
      </c>
      <c r="B54" s="92"/>
      <c r="C54" s="92"/>
      <c r="D54" s="92"/>
      <c r="E54" s="92"/>
      <c r="F54" s="92"/>
      <c r="G54" s="50">
        <f t="shared" ref="G54" si="34">SUM(G49:G53)</f>
        <v>5.2496087499999966</v>
      </c>
      <c r="H54" s="47"/>
      <c r="I54" s="92"/>
      <c r="J54" s="92"/>
      <c r="K54" s="134"/>
      <c r="L54" s="67"/>
      <c r="M54" s="135"/>
    </row>
    <row r="55" spans="1:13" s="7" customFormat="1" ht="12.75" x14ac:dyDescent="0.2">
      <c r="A55" s="78"/>
      <c r="B55" s="92"/>
      <c r="C55" s="92"/>
      <c r="D55" s="92"/>
      <c r="E55" s="92"/>
      <c r="F55" s="92"/>
      <c r="G55" s="50"/>
      <c r="H55" s="47"/>
      <c r="I55" s="92"/>
      <c r="J55" s="92"/>
      <c r="K55" s="134"/>
      <c r="L55" s="67"/>
      <c r="M55" s="135"/>
    </row>
    <row r="56" spans="1:13" s="7" customFormat="1" ht="12.75" x14ac:dyDescent="0.2">
      <c r="A56" s="79" t="s">
        <v>8</v>
      </c>
      <c r="B56" s="91"/>
      <c r="C56" s="91"/>
      <c r="D56" s="91"/>
      <c r="E56" s="91"/>
      <c r="F56" s="91"/>
      <c r="G56" s="47">
        <v>0</v>
      </c>
      <c r="H56" s="47"/>
      <c r="I56" s="91"/>
      <c r="J56" s="91"/>
      <c r="K56" s="131"/>
      <c r="L56" s="132"/>
      <c r="M56" s="133"/>
    </row>
    <row r="57" spans="1:13" s="7" customFormat="1" ht="12.75" x14ac:dyDescent="0.2">
      <c r="A57" s="79" t="s">
        <v>15</v>
      </c>
      <c r="B57" s="91"/>
      <c r="C57" s="91"/>
      <c r="D57" s="91"/>
      <c r="E57" s="91"/>
      <c r="F57" s="91"/>
      <c r="G57" s="47">
        <v>0</v>
      </c>
      <c r="H57" s="47"/>
      <c r="I57" s="91"/>
      <c r="J57" s="91"/>
      <c r="K57" s="131"/>
      <c r="L57" s="132"/>
      <c r="M57" s="133"/>
    </row>
    <row r="58" spans="1:13" s="7" customFormat="1" ht="12.75" x14ac:dyDescent="0.2">
      <c r="A58" s="79" t="s">
        <v>259</v>
      </c>
      <c r="B58" s="91"/>
      <c r="C58" s="91"/>
      <c r="D58" s="91"/>
      <c r="E58" s="91"/>
      <c r="F58" s="91"/>
      <c r="G58" s="47">
        <v>-12.698702000000001</v>
      </c>
      <c r="H58" s="47"/>
      <c r="I58" s="91"/>
      <c r="J58" s="91"/>
      <c r="K58" s="131"/>
      <c r="L58" s="132"/>
      <c r="M58" s="133"/>
    </row>
    <row r="59" spans="1:13" s="7" customFormat="1" ht="13.5" thickBot="1" x14ac:dyDescent="0.25">
      <c r="A59" s="78" t="s">
        <v>332</v>
      </c>
      <c r="B59" s="92"/>
      <c r="C59" s="92"/>
      <c r="D59" s="92"/>
      <c r="E59" s="92"/>
      <c r="F59" s="92"/>
      <c r="G59" s="53">
        <f t="shared" ref="G59" si="35">SUM(G54:G58)</f>
        <v>-7.4490932500000042</v>
      </c>
      <c r="H59" s="47"/>
      <c r="I59" s="92"/>
      <c r="J59" s="92"/>
      <c r="K59" s="134"/>
      <c r="L59" s="67"/>
      <c r="M59" s="135"/>
    </row>
    <row r="60" spans="1:13" ht="15" thickTop="1" x14ac:dyDescent="0.2">
      <c r="B60" s="128"/>
      <c r="C60" s="128"/>
      <c r="D60" s="128"/>
      <c r="E60" s="128"/>
      <c r="F60" s="128"/>
      <c r="I60" s="128"/>
      <c r="J60" s="128"/>
      <c r="K60" s="128"/>
      <c r="L60" s="128"/>
      <c r="M60" s="128"/>
    </row>
    <row r="61" spans="1:13" x14ac:dyDescent="0.2">
      <c r="B61" s="128"/>
      <c r="C61" s="128"/>
      <c r="D61" s="128"/>
      <c r="E61" s="128"/>
      <c r="F61" s="128"/>
      <c r="I61" s="128"/>
      <c r="J61" s="128"/>
      <c r="K61" s="128"/>
      <c r="L61" s="128"/>
      <c r="M61" s="128"/>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1" manualBreakCount="1">
    <brk id="26" max="13" man="1"/>
  </rowBreaks>
  <ignoredErrors>
    <ignoredError sqref="I15:J19 I21:J22 J20 I24:J24 I23:J23 I32:I33 I34:I42" formulaRange="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D0CE34-97CD-4016-9FE5-352AFA4F30A0}">
  <sheetPr>
    <pageSetUpPr fitToPage="1"/>
  </sheetPr>
  <dimension ref="A1:N33"/>
  <sheetViews>
    <sheetView showGridLines="0" zoomScaleNormal="100" workbookViewId="0">
      <selection activeCell="O5" sqref="O5"/>
    </sheetView>
  </sheetViews>
  <sheetFormatPr defaultRowHeight="14.25" x14ac:dyDescent="0.2"/>
  <cols>
    <col min="1" max="1" width="52.28515625" style="3" customWidth="1"/>
    <col min="2" max="7" width="9.140625" style="3"/>
    <col min="8" max="8" width="2.140625" style="3" customWidth="1"/>
    <col min="9" max="10" width="9.140625" style="3"/>
    <col min="11" max="11" width="2.140625" style="3" customWidth="1"/>
    <col min="12" max="13" width="9.140625" style="3"/>
    <col min="14" max="14" width="12.4257812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84</v>
      </c>
      <c r="B3" s="5"/>
      <c r="C3" s="5"/>
      <c r="D3" s="5"/>
      <c r="E3" s="5"/>
      <c r="F3" s="5"/>
      <c r="G3" s="5"/>
      <c r="H3" s="5"/>
      <c r="I3" s="5"/>
      <c r="J3" s="5"/>
      <c r="K3" s="5"/>
      <c r="L3" s="5"/>
      <c r="M3" s="5"/>
      <c r="N3" s="5"/>
    </row>
    <row r="4" spans="1:14" s="7" customFormat="1" ht="12.75" x14ac:dyDescent="0.2"/>
    <row r="5" spans="1:14" s="7" customFormat="1" ht="13.5" thickBot="1" x14ac:dyDescent="0.25">
      <c r="B5" s="10" t="s">
        <v>49</v>
      </c>
      <c r="C5" s="10" t="s">
        <v>50</v>
      </c>
      <c r="D5" s="10" t="s">
        <v>51</v>
      </c>
      <c r="E5" s="10" t="s">
        <v>52</v>
      </c>
      <c r="F5" s="10" t="s">
        <v>53</v>
      </c>
      <c r="G5" s="10" t="s">
        <v>308</v>
      </c>
      <c r="I5" s="13" t="s">
        <v>305</v>
      </c>
      <c r="J5" s="13" t="s">
        <v>306</v>
      </c>
      <c r="K5" s="6"/>
      <c r="L5" s="13" t="s">
        <v>307</v>
      </c>
      <c r="M5" s="14"/>
    </row>
    <row r="6" spans="1:14" s="7" customFormat="1" ht="12.75" x14ac:dyDescent="0.2">
      <c r="A6" s="7" t="s">
        <v>277</v>
      </c>
      <c r="B6" s="47">
        <f>B30</f>
        <v>62.554999999999993</v>
      </c>
      <c r="C6" s="47">
        <f t="shared" ref="C6:F6" si="0">C30</f>
        <v>60.470000000000006</v>
      </c>
      <c r="D6" s="47">
        <f t="shared" si="0"/>
        <v>52.62</v>
      </c>
      <c r="E6" s="47">
        <f t="shared" si="0"/>
        <v>43.859999999999992</v>
      </c>
      <c r="F6" s="47">
        <f t="shared" si="0"/>
        <v>41.169999999999987</v>
      </c>
      <c r="G6" s="47">
        <f t="shared" ref="G6" si="1">G30</f>
        <v>35.049296240000004</v>
      </c>
      <c r="H6" s="47"/>
      <c r="I6" s="47">
        <f>SUM(D6:E6)</f>
        <v>96.47999999999999</v>
      </c>
      <c r="J6" s="47">
        <f>SUM(F6:G6)</f>
        <v>76.219296239999991</v>
      </c>
      <c r="L6" s="47">
        <f>J6-I6</f>
        <v>-20.260703759999998</v>
      </c>
      <c r="M6" s="29">
        <f>+IF(I6&lt;&gt;0,IF(ABS((L6)/I6)&gt;1,"n/a ",(L6)/I6*SIGN(I6)),"n/a ")</f>
        <v>-0.2099990024875622</v>
      </c>
    </row>
    <row r="7" spans="1:14" s="7" customFormat="1" ht="12.75" x14ac:dyDescent="0.2">
      <c r="A7" s="7" t="s">
        <v>295</v>
      </c>
      <c r="B7" s="47">
        <f>FUMA!C27/1000</f>
        <v>38.942999999999998</v>
      </c>
      <c r="C7" s="47">
        <f>FUMA!E27/1000</f>
        <v>43.127000000000002</v>
      </c>
      <c r="D7" s="47">
        <f>FUMA!G27/1000</f>
        <v>44.881999999999998</v>
      </c>
      <c r="E7" s="47">
        <f>FUMA!I27/1000</f>
        <v>41.988999999999997</v>
      </c>
      <c r="F7" s="47">
        <f>FUMA!K27/1000</f>
        <v>44.832000000000001</v>
      </c>
      <c r="G7" s="47">
        <f>FUMA!M27/1000</f>
        <v>48.414000000000001</v>
      </c>
      <c r="H7" s="47"/>
      <c r="I7" s="47">
        <f>E7</f>
        <v>41.988999999999997</v>
      </c>
      <c r="J7" s="47">
        <f>G7</f>
        <v>48.414000000000001</v>
      </c>
      <c r="L7" s="47">
        <f>J7-I7</f>
        <v>6.4250000000000043</v>
      </c>
      <c r="M7" s="29">
        <f t="shared" ref="M7:M13" si="2">+IF(I7&lt;&gt;0,IF(ABS((L7)/I7)&gt;1,"n/a ",(L7)/I7*SIGN(I7)),"n/a ")</f>
        <v>0.15301626616494807</v>
      </c>
    </row>
    <row r="8" spans="1:14" s="7" customFormat="1" ht="12.75" x14ac:dyDescent="0.2">
      <c r="A8" s="7" t="s">
        <v>296</v>
      </c>
      <c r="B8" s="47">
        <v>40.211726753492854</v>
      </c>
      <c r="C8" s="47">
        <v>41.144003401677139</v>
      </c>
      <c r="D8" s="47">
        <v>44.169671631862862</v>
      </c>
      <c r="E8" s="47">
        <v>42.748847418007138</v>
      </c>
      <c r="F8" s="47">
        <v>43.036603894354286</v>
      </c>
      <c r="G8" s="47">
        <v>46.250626569225716</v>
      </c>
      <c r="H8" s="47"/>
      <c r="I8" s="102">
        <v>43.459259524935</v>
      </c>
      <c r="J8" s="102">
        <v>44.643615231790001</v>
      </c>
      <c r="L8" s="47">
        <f t="shared" ref="L8:L12" si="3">J8-I8</f>
        <v>1.1843557068550012</v>
      </c>
      <c r="M8" s="29">
        <f t="shared" si="2"/>
        <v>2.7252091264359218E-2</v>
      </c>
    </row>
    <row r="9" spans="1:14" s="7" customFormat="1" ht="12.75" x14ac:dyDescent="0.2">
      <c r="A9" s="7" t="s">
        <v>80</v>
      </c>
      <c r="B9" s="47">
        <f>SUM(FUMA!B22:C22)/1000</f>
        <v>0.70499999999999996</v>
      </c>
      <c r="C9" s="47">
        <f>SUM(FUMA!D22:E22)/1000</f>
        <v>0.755</v>
      </c>
      <c r="D9" s="47">
        <f>SUM(FUMA!F22:G22)/1000</f>
        <v>0.77700000000000002</v>
      </c>
      <c r="E9" s="47">
        <f>SUM(FUMA!H22:I22)/1000</f>
        <v>0.58799999999999997</v>
      </c>
      <c r="F9" s="47">
        <f>SUM(FUMA!J22:K22)/1000</f>
        <v>0.26600000000000001</v>
      </c>
      <c r="G9" s="47">
        <f>SUM(FUMA!L22:M22)/1000</f>
        <v>0.87287438597999978</v>
      </c>
      <c r="H9" s="47"/>
      <c r="I9" s="47">
        <f>SUM(D9:E9)</f>
        <v>1.365</v>
      </c>
      <c r="J9" s="47">
        <f>SUM(F9:G9)</f>
        <v>1.1388743859799999</v>
      </c>
      <c r="L9" s="47">
        <f t="shared" si="3"/>
        <v>-0.22612561402000009</v>
      </c>
      <c r="M9" s="29">
        <f>+IF(I9&lt;&gt;0,IF(ABS((L9)/I9)&gt;1,"n/a ",(L9)/I9*SIGN(I9)),"n/a ")</f>
        <v>-0.16565979049084256</v>
      </c>
    </row>
    <row r="10" spans="1:14" s="7" customFormat="1" ht="12.75" x14ac:dyDescent="0.2">
      <c r="A10" s="7" t="s">
        <v>81</v>
      </c>
      <c r="B10" s="47">
        <f>B25</f>
        <v>119.145</v>
      </c>
      <c r="C10" s="47">
        <f t="shared" ref="C10:F10" si="4">C25</f>
        <v>112.82000000000001</v>
      </c>
      <c r="D10" s="47">
        <f t="shared" si="4"/>
        <v>111.5</v>
      </c>
      <c r="E10" s="47">
        <f t="shared" si="4"/>
        <v>99.97999999999999</v>
      </c>
      <c r="F10" s="47">
        <f t="shared" si="4"/>
        <v>102.07999999999998</v>
      </c>
      <c r="G10" s="47">
        <f t="shared" ref="G10" si="5">G25</f>
        <v>97.914794570000012</v>
      </c>
      <c r="H10" s="47"/>
      <c r="I10" s="47">
        <f>SUM(D10:E10)</f>
        <v>211.48</v>
      </c>
      <c r="J10" s="47">
        <f>SUM(F10:G10)</f>
        <v>199.99479457000001</v>
      </c>
      <c r="L10" s="47">
        <f t="shared" si="3"/>
        <v>-11.485205429999979</v>
      </c>
      <c r="M10" s="29">
        <f t="shared" si="2"/>
        <v>-5.4308707348212498E-2</v>
      </c>
    </row>
    <row r="11" spans="1:14" s="7" customFormat="1" ht="12.75" x14ac:dyDescent="0.2">
      <c r="A11" s="7" t="s">
        <v>79</v>
      </c>
      <c r="B11" s="88">
        <f>B10/(B8*1000)*Ratios!B31/Ratios!B30</f>
        <v>5.8775744679437662E-3</v>
      </c>
      <c r="C11" s="88">
        <f>C10/(C8*1000)*Ratios!C31/Ratios!C30</f>
        <v>5.5296015443676381E-3</v>
      </c>
      <c r="D11" s="88">
        <f>D10/(D8*1000)*Ratios!D31/Ratios!D30</f>
        <v>5.021274446565473E-3</v>
      </c>
      <c r="E11" s="88">
        <f>E10/(E8*1000)*Ratios!E31/Ratios!E30</f>
        <v>4.7032538527340311E-3</v>
      </c>
      <c r="F11" s="88">
        <f>F10/(F8*1000)*Ratios!F31/Ratios!F30</f>
        <v>4.7051958995416275E-3</v>
      </c>
      <c r="G11" s="88">
        <f>G10/(G8*1000)*Ratios!G31/Ratios!G30</f>
        <v>4.2691851102175165E-3</v>
      </c>
      <c r="I11" s="88">
        <f>I10/(I8*1000)</f>
        <v>4.8661666653262263E-3</v>
      </c>
      <c r="J11" s="88">
        <f>J10/(J8*1000)</f>
        <v>4.4798073258992465E-3</v>
      </c>
      <c r="L11" s="90">
        <f>J11-I11</f>
        <v>-3.8635933942697976E-4</v>
      </c>
      <c r="M11" s="29">
        <f>+IF(I11&lt;&gt;0,IF(ABS((L11)/I11)&gt;1,"n/a ",(L11)/I11*SIGN(I11)),"n/a ")</f>
        <v>-7.9397062616037295E-2</v>
      </c>
    </row>
    <row r="12" spans="1:14" s="7" customFormat="1" ht="12.75" x14ac:dyDescent="0.2">
      <c r="A12" s="7" t="s">
        <v>82</v>
      </c>
      <c r="B12" s="88">
        <f>SUM(B25,B27,B29)/(B8*1000)*Ratios!B31/Ratios!B30</f>
        <v>3.0859177543516073E-3</v>
      </c>
      <c r="C12" s="88">
        <f>SUM(C25,C27,C29)/(C8*1000)*Ratios!C31/Ratios!C30</f>
        <v>2.9637919286288872E-3</v>
      </c>
      <c r="D12" s="88">
        <f>SUM(D25,D27,D29)/(D8*1000)*Ratios!D31/Ratios!D30</f>
        <v>2.3696812679665936E-3</v>
      </c>
      <c r="E12" s="88">
        <f>SUM(E25,E27,E29)/(E8*1000)*Ratios!E31/Ratios!E30</f>
        <v>2.0632597917674992E-3</v>
      </c>
      <c r="F12" s="88">
        <f>SUM(F25,F27,F29)/(F8*1000)*Ratios!F31/Ratios!F30</f>
        <v>1.8976578681830795E-3</v>
      </c>
      <c r="G12" s="88">
        <f>SUM(G25,G27,G29)/(G8*1000)*Ratios!G31/Ratios!G30</f>
        <v>1.5281851357451179E-3</v>
      </c>
      <c r="I12" s="88">
        <f>SUM(I25,I27,I29)/(I8*1000)</f>
        <v>2.2191190255937574E-3</v>
      </c>
      <c r="J12" s="88">
        <f>SUM(J25,J27,J29)/(J8*1000)</f>
        <v>1.7082582462025736E-3</v>
      </c>
      <c r="L12" s="90">
        <f t="shared" si="3"/>
        <v>-5.1086077939118389E-4</v>
      </c>
      <c r="M12" s="29">
        <f t="shared" si="2"/>
        <v>-0.23020882318581162</v>
      </c>
    </row>
    <row r="13" spans="1:14" s="7" customFormat="1" ht="12.75" x14ac:dyDescent="0.2">
      <c r="A13" s="7" t="s">
        <v>73</v>
      </c>
      <c r="B13" s="87">
        <f t="shared" ref="B13:E13" si="6">ABS(B29/(SUM(B25:B27)-B24))</f>
        <v>0.47464877332774169</v>
      </c>
      <c r="C13" s="87">
        <f t="shared" si="6"/>
        <v>0.46360255047821469</v>
      </c>
      <c r="D13" s="87">
        <f>ABS(D29/(SUM(D25:D27)-D24))</f>
        <v>0.52788237403622018</v>
      </c>
      <c r="E13" s="87">
        <f t="shared" si="6"/>
        <v>0.56114388561143891</v>
      </c>
      <c r="F13" s="87">
        <f>ABS(F29/(SUM(F25:F27)-F24))</f>
        <v>0.5965135638037411</v>
      </c>
      <c r="G13" s="87">
        <f>ABS(G29/(SUM(G25:G27)-G24))</f>
        <v>0.64124855570465134</v>
      </c>
      <c r="I13" s="87">
        <f>ABS(I29/(SUM(I25:I27)-I24))</f>
        <v>0.5437062535263355</v>
      </c>
      <c r="J13" s="87">
        <f>ABS(J29/(SUM(J25:J27)-J24))</f>
        <v>0.61829131046405139</v>
      </c>
      <c r="L13" s="29">
        <f>J13-I13</f>
        <v>7.4585056937715888E-2</v>
      </c>
      <c r="M13" s="29">
        <f t="shared" si="2"/>
        <v>0.13717895730272892</v>
      </c>
    </row>
    <row r="14" spans="1:14" s="7" customFormat="1" ht="12.75" x14ac:dyDescent="0.2"/>
    <row r="15" spans="1:14" s="7" customFormat="1" ht="18" x14ac:dyDescent="0.25">
      <c r="A15" s="4" t="s">
        <v>263</v>
      </c>
      <c r="B15" s="5"/>
      <c r="C15" s="5"/>
      <c r="D15" s="5"/>
      <c r="E15" s="5"/>
      <c r="F15" s="5"/>
      <c r="G15" s="5"/>
      <c r="H15" s="5"/>
      <c r="I15" s="5"/>
      <c r="J15" s="5"/>
      <c r="K15" s="5"/>
      <c r="L15" s="5"/>
      <c r="M15" s="5"/>
      <c r="N15" s="5"/>
    </row>
    <row r="16" spans="1:14" s="7" customFormat="1" ht="12.75" x14ac:dyDescent="0.2">
      <c r="A16" s="27" t="s">
        <v>360</v>
      </c>
    </row>
    <row r="17" spans="1:13" x14ac:dyDescent="0.2">
      <c r="A17" s="7"/>
      <c r="B17" s="9" t="s">
        <v>49</v>
      </c>
      <c r="C17" s="9" t="s">
        <v>50</v>
      </c>
      <c r="D17" s="9" t="s">
        <v>51</v>
      </c>
      <c r="E17" s="9" t="s">
        <v>52</v>
      </c>
      <c r="F17" s="9" t="s">
        <v>53</v>
      </c>
      <c r="G17" s="9" t="s">
        <v>308</v>
      </c>
      <c r="H17" s="7"/>
      <c r="I17" s="11" t="s">
        <v>305</v>
      </c>
      <c r="J17" s="11" t="s">
        <v>306</v>
      </c>
      <c r="K17" s="6"/>
      <c r="L17" s="11" t="s">
        <v>307</v>
      </c>
      <c r="M17" s="12"/>
    </row>
    <row r="18" spans="1:13" s="7" customFormat="1" ht="13.5" thickBot="1" x14ac:dyDescent="0.25">
      <c r="A18" s="81"/>
      <c r="B18" s="10" t="s">
        <v>54</v>
      </c>
      <c r="C18" s="10" t="s">
        <v>54</v>
      </c>
      <c r="D18" s="10" t="s">
        <v>54</v>
      </c>
      <c r="E18" s="10" t="s">
        <v>54</v>
      </c>
      <c r="F18" s="10" t="s">
        <v>54</v>
      </c>
      <c r="G18" s="10" t="s">
        <v>54</v>
      </c>
      <c r="I18" s="10" t="s">
        <v>54</v>
      </c>
      <c r="J18" s="10" t="s">
        <v>54</v>
      </c>
      <c r="K18" s="6"/>
      <c r="L18" s="10" t="s">
        <v>54</v>
      </c>
      <c r="M18" s="10" t="s">
        <v>55</v>
      </c>
    </row>
    <row r="19" spans="1:13" s="7" customFormat="1" ht="12.75" x14ac:dyDescent="0.2">
      <c r="A19" s="78" t="s">
        <v>1</v>
      </c>
    </row>
    <row r="20" spans="1:13" s="7" customFormat="1" ht="12.75" x14ac:dyDescent="0.2">
      <c r="A20" s="79" t="s">
        <v>2</v>
      </c>
      <c r="B20" s="47">
        <v>204.47</v>
      </c>
      <c r="C20" s="47">
        <v>197.48</v>
      </c>
      <c r="D20" s="156">
        <v>129.47792602999999</v>
      </c>
      <c r="E20" s="156">
        <v>117.72697532999999</v>
      </c>
      <c r="F20" s="156">
        <v>114.71018262000003</v>
      </c>
      <c r="G20" s="47">
        <v>107.09371</v>
      </c>
      <c r="H20" s="47"/>
      <c r="I20" s="47">
        <f>SUM(D20:E20)</f>
        <v>247.20490135999998</v>
      </c>
      <c r="J20" s="47">
        <f>SUM(F20:G20)</f>
        <v>221.80389262000003</v>
      </c>
      <c r="L20" s="47">
        <f>J20-I20</f>
        <v>-25.401008739999952</v>
      </c>
      <c r="M20" s="29">
        <f t="shared" ref="M20:M30" si="7">+IF(I20&lt;&gt;0,IF(ABS((L20)/I20)&gt;1,"n/a ",(L20)/I20*SIGN(I20)),"n/a ")</f>
        <v>-0.10275285239190678</v>
      </c>
    </row>
    <row r="21" spans="1:13" s="7" customFormat="1" ht="12.75" x14ac:dyDescent="0.2">
      <c r="A21" s="79" t="s">
        <v>3</v>
      </c>
      <c r="B21" s="47">
        <v>4.57</v>
      </c>
      <c r="C21" s="47">
        <v>3.86</v>
      </c>
      <c r="D21" s="102">
        <v>4.46</v>
      </c>
      <c r="E21" s="102">
        <v>4.26</v>
      </c>
      <c r="F21" s="102">
        <v>4.37</v>
      </c>
      <c r="G21" s="47">
        <v>4.3719247899999996</v>
      </c>
      <c r="H21" s="47"/>
      <c r="I21" s="47">
        <f t="shared" ref="I21:I23" si="8">SUM(D21:E21)</f>
        <v>8.7199999999999989</v>
      </c>
      <c r="J21" s="47">
        <f t="shared" ref="J21:J24" si="9">SUM(F21:G21)</f>
        <v>8.7419247899999988</v>
      </c>
      <c r="L21" s="47">
        <f t="shared" ref="L21:L27" si="10">J21-I21</f>
        <v>2.1924789999999916E-2</v>
      </c>
      <c r="M21" s="35">
        <f t="shared" si="7"/>
        <v>2.5143107798165044E-3</v>
      </c>
    </row>
    <row r="22" spans="1:13" s="7" customFormat="1" ht="12.75" x14ac:dyDescent="0.2">
      <c r="A22" s="79" t="s">
        <v>4</v>
      </c>
      <c r="B22" s="47">
        <v>-87.2</v>
      </c>
      <c r="C22" s="47">
        <v>-85.95</v>
      </c>
      <c r="D22" s="156">
        <v>-18.531387670000022</v>
      </c>
      <c r="E22" s="156">
        <v>-17.432244039999979</v>
      </c>
      <c r="F22" s="156">
        <v>-13.72665499999998</v>
      </c>
      <c r="G22" s="47">
        <v>-4.7076008699999727</v>
      </c>
      <c r="H22" s="47"/>
      <c r="I22" s="47">
        <f t="shared" si="8"/>
        <v>-35.963631710000001</v>
      </c>
      <c r="J22" s="47">
        <f>SUM(F22:G22)</f>
        <v>-18.434255869999951</v>
      </c>
      <c r="L22" s="47">
        <f>J22-I22</f>
        <v>17.52937584000005</v>
      </c>
      <c r="M22" s="35">
        <f>+IF(I22&lt;&gt;0,IF(ABS((L22)/I22)&gt;1,"n/a ",(L22)/I22*SIGN(I22)),"n/a ")</f>
        <v>0.48741951261629268</v>
      </c>
    </row>
    <row r="23" spans="1:13" s="7" customFormat="1" ht="12.75" x14ac:dyDescent="0.2">
      <c r="A23" s="79" t="s">
        <v>5</v>
      </c>
      <c r="B23" s="47">
        <v>-2.58</v>
      </c>
      <c r="C23" s="47">
        <v>-2.4700000000000002</v>
      </c>
      <c r="D23" s="47">
        <v>-3.91</v>
      </c>
      <c r="E23" s="47">
        <v>-4.54</v>
      </c>
      <c r="F23" s="47">
        <v>-3.2</v>
      </c>
      <c r="G23" s="47">
        <v>-8.7219482699999968</v>
      </c>
      <c r="H23" s="47"/>
      <c r="I23" s="47">
        <f t="shared" si="8"/>
        <v>-8.4499999999999993</v>
      </c>
      <c r="J23" s="47">
        <f t="shared" si="9"/>
        <v>-11.921948269999998</v>
      </c>
      <c r="L23" s="47">
        <f t="shared" si="10"/>
        <v>-3.4719482699999986</v>
      </c>
      <c r="M23" s="35">
        <f>+IF(I23&lt;&gt;0,IF(ABS((L23)/I23)&gt;1,"n/a ",(L23)/I23*SIGN(I23)),"n/a ")</f>
        <v>-0.41088145207100579</v>
      </c>
    </row>
    <row r="24" spans="1:13" s="7" customFormat="1" ht="12.75" x14ac:dyDescent="0.2">
      <c r="A24" s="79" t="s">
        <v>6</v>
      </c>
      <c r="B24" s="48">
        <v>-0.08</v>
      </c>
      <c r="C24" s="48">
        <v>-0.1</v>
      </c>
      <c r="D24" s="48">
        <v>-0.04</v>
      </c>
      <c r="E24" s="48">
        <v>-0.03</v>
      </c>
      <c r="F24" s="48">
        <v>-0.03</v>
      </c>
      <c r="G24" s="48">
        <v>-0.12129108</v>
      </c>
      <c r="H24" s="47"/>
      <c r="I24" s="48">
        <f>SUM(D24:E24)</f>
        <v>-7.0000000000000007E-2</v>
      </c>
      <c r="J24" s="48">
        <f t="shared" si="9"/>
        <v>-0.15129107999999999</v>
      </c>
      <c r="K24" s="42"/>
      <c r="L24" s="55">
        <f t="shared" si="10"/>
        <v>-8.1291079999999988E-2</v>
      </c>
      <c r="M24" s="43" t="str">
        <f t="shared" si="7"/>
        <v xml:space="preserve">n/a </v>
      </c>
    </row>
    <row r="25" spans="1:13" s="7" customFormat="1" ht="12.75" x14ac:dyDescent="0.2">
      <c r="A25" s="78" t="s">
        <v>7</v>
      </c>
      <c r="B25" s="118">
        <v>119.145</v>
      </c>
      <c r="C25" s="118">
        <v>112.82000000000001</v>
      </c>
      <c r="D25" s="118">
        <v>111.5</v>
      </c>
      <c r="E25" s="118">
        <v>99.97999999999999</v>
      </c>
      <c r="F25" s="118">
        <v>102.07999999999998</v>
      </c>
      <c r="G25" s="50">
        <f t="shared" ref="G25:J25" si="11">SUM(G20:G24)</f>
        <v>97.914794570000012</v>
      </c>
      <c r="H25" s="47"/>
      <c r="I25" s="50">
        <f>SUM(I20:I24)</f>
        <v>211.44126964999998</v>
      </c>
      <c r="J25" s="50">
        <f t="shared" si="11"/>
        <v>200.03832219000009</v>
      </c>
      <c r="K25" s="40"/>
      <c r="L25" s="56">
        <f t="shared" si="10"/>
        <v>-11.402947459999893</v>
      </c>
      <c r="M25" s="39">
        <f t="shared" si="7"/>
        <v>-5.3929620640640601E-2</v>
      </c>
    </row>
    <row r="26" spans="1:13" s="7" customFormat="1" ht="12.75" x14ac:dyDescent="0.2">
      <c r="A26" s="78"/>
      <c r="B26" s="50"/>
      <c r="C26" s="50"/>
      <c r="D26" s="50"/>
      <c r="E26" s="50"/>
      <c r="F26" s="50"/>
      <c r="G26" s="50"/>
      <c r="H26" s="47"/>
      <c r="I26" s="50"/>
      <c r="J26" s="50"/>
      <c r="K26" s="40"/>
      <c r="L26" s="56"/>
      <c r="M26" s="39"/>
    </row>
    <row r="27" spans="1:13" s="7" customFormat="1" ht="12.75" x14ac:dyDescent="0.2">
      <c r="A27" s="79" t="s">
        <v>8</v>
      </c>
      <c r="B27" s="47">
        <v>0</v>
      </c>
      <c r="C27" s="47">
        <v>0</v>
      </c>
      <c r="D27" s="47">
        <v>0</v>
      </c>
      <c r="E27" s="47">
        <v>0</v>
      </c>
      <c r="F27" s="47">
        <v>0</v>
      </c>
      <c r="G27" s="47">
        <v>0</v>
      </c>
      <c r="H27" s="47"/>
      <c r="I27" s="47">
        <f t="shared" ref="I27" si="12">SUM(D27:E27)</f>
        <v>0</v>
      </c>
      <c r="J27" s="47">
        <f>SUM(F27:G27)</f>
        <v>0</v>
      </c>
      <c r="K27" s="42"/>
      <c r="L27" s="57">
        <f t="shared" si="10"/>
        <v>0</v>
      </c>
      <c r="M27" s="41" t="str">
        <f>+IF(I27&lt;&gt;0,IF(ABS((L27)/I27)&gt;1,"n/a ",(L27)/I27*SIGN(I27)),"n/a ")</f>
        <v xml:space="preserve">n/a </v>
      </c>
    </row>
    <row r="28" spans="1:13" s="7" customFormat="1" ht="12.75" x14ac:dyDescent="0.2">
      <c r="A28" s="79" t="s">
        <v>15</v>
      </c>
      <c r="B28" s="47">
        <v>0</v>
      </c>
      <c r="C28" s="47">
        <v>0</v>
      </c>
      <c r="D28" s="47">
        <v>0</v>
      </c>
      <c r="E28" s="47">
        <v>0</v>
      </c>
      <c r="F28" s="47">
        <v>0</v>
      </c>
      <c r="G28" s="47">
        <v>0</v>
      </c>
      <c r="H28" s="47"/>
      <c r="I28" s="47">
        <f>SUM(D28:E28)</f>
        <v>0</v>
      </c>
      <c r="J28" s="47">
        <f>SUM(F28:G28)</f>
        <v>0</v>
      </c>
      <c r="K28" s="42"/>
      <c r="L28" s="57">
        <f>J28-I28</f>
        <v>0</v>
      </c>
      <c r="M28" s="41" t="str">
        <f t="shared" si="7"/>
        <v xml:space="preserve">n/a </v>
      </c>
    </row>
    <row r="29" spans="1:13" s="7" customFormat="1" ht="12.75" x14ac:dyDescent="0.2">
      <c r="A29" s="79" t="s">
        <v>259</v>
      </c>
      <c r="B29" s="47">
        <v>-56.59</v>
      </c>
      <c r="C29" s="47">
        <v>-52.35</v>
      </c>
      <c r="D29" s="47">
        <v>-58.88</v>
      </c>
      <c r="E29" s="47">
        <v>-56.12</v>
      </c>
      <c r="F29" s="47">
        <v>-60.91</v>
      </c>
      <c r="G29" s="47">
        <v>-62.865498330000008</v>
      </c>
      <c r="H29" s="47"/>
      <c r="I29" s="47">
        <f>SUM(D29:E29)</f>
        <v>-115</v>
      </c>
      <c r="J29" s="47">
        <f t="shared" ref="J29" si="13">SUM(F29:G29)</f>
        <v>-123.77549833</v>
      </c>
      <c r="K29" s="42"/>
      <c r="L29" s="57">
        <f>J29-I29</f>
        <v>-8.7754983300000049</v>
      </c>
      <c r="M29" s="41">
        <f t="shared" si="7"/>
        <v>-7.6308681130434819E-2</v>
      </c>
    </row>
    <row r="30" spans="1:13" s="7" customFormat="1" ht="13.5" thickBot="1" x14ac:dyDescent="0.25">
      <c r="A30" s="78" t="s">
        <v>276</v>
      </c>
      <c r="B30" s="53">
        <f>SUM(B25:B29)</f>
        <v>62.554999999999993</v>
      </c>
      <c r="C30" s="53">
        <f t="shared" ref="C30:J30" si="14">SUM(C25:C29)</f>
        <v>60.470000000000006</v>
      </c>
      <c r="D30" s="53">
        <f t="shared" si="14"/>
        <v>52.62</v>
      </c>
      <c r="E30" s="53">
        <f t="shared" si="14"/>
        <v>43.859999999999992</v>
      </c>
      <c r="F30" s="53">
        <f t="shared" si="14"/>
        <v>41.169999999999987</v>
      </c>
      <c r="G30" s="53">
        <f t="shared" si="14"/>
        <v>35.049296240000004</v>
      </c>
      <c r="H30" s="47"/>
      <c r="I30" s="53">
        <f t="shared" si="14"/>
        <v>96.441269649999981</v>
      </c>
      <c r="J30" s="53">
        <f t="shared" si="14"/>
        <v>76.262823860000083</v>
      </c>
      <c r="K30" s="40"/>
      <c r="L30" s="58">
        <f>J30-I30</f>
        <v>-20.178445789999898</v>
      </c>
      <c r="M30" s="44">
        <f t="shared" si="7"/>
        <v>-0.20923040378077293</v>
      </c>
    </row>
    <row r="31" spans="1:13" ht="15" thickTop="1" x14ac:dyDescent="0.2">
      <c r="A31" s="80"/>
    </row>
    <row r="32" spans="1:13" x14ac:dyDescent="0.2">
      <c r="A32" s="80"/>
    </row>
    <row r="33" spans="1:1" x14ac:dyDescent="0.2">
      <c r="A33" s="8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ignoredErrors>
    <ignoredError sqref="B30 I20:J29 B9:F9 C30:G30"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07F868-C598-4C99-AA1D-F2A00B838648}">
  <sheetPr>
    <pageSetUpPr fitToPage="1"/>
  </sheetPr>
  <dimension ref="A1:N32"/>
  <sheetViews>
    <sheetView showGridLines="0" zoomScaleNormal="100" workbookViewId="0">
      <selection activeCell="O5" sqref="O5"/>
    </sheetView>
  </sheetViews>
  <sheetFormatPr defaultRowHeight="14.25" x14ac:dyDescent="0.2"/>
  <cols>
    <col min="1" max="1" width="54.140625" style="3" customWidth="1"/>
    <col min="2" max="7" width="9.140625" style="3"/>
    <col min="8" max="8" width="2.140625" style="3" customWidth="1"/>
    <col min="9" max="10" width="9.140625" style="3"/>
    <col min="11" max="11" width="2.140625" style="3" customWidth="1"/>
    <col min="12" max="13" width="9.140625" style="3"/>
    <col min="14" max="14" width="11.14062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85</v>
      </c>
      <c r="B3" s="5"/>
      <c r="C3" s="5"/>
      <c r="D3" s="5"/>
      <c r="E3" s="5"/>
      <c r="F3" s="5"/>
      <c r="G3" s="5"/>
      <c r="H3" s="5"/>
      <c r="I3" s="5"/>
      <c r="J3" s="5"/>
      <c r="K3" s="5"/>
      <c r="L3" s="5"/>
      <c r="M3" s="5"/>
      <c r="N3" s="5"/>
    </row>
    <row r="4" spans="1:14" s="7" customFormat="1" ht="12.75" x14ac:dyDescent="0.2"/>
    <row r="5" spans="1:14" s="7" customFormat="1" ht="13.5" thickBot="1" x14ac:dyDescent="0.25">
      <c r="B5" s="10" t="s">
        <v>49</v>
      </c>
      <c r="C5" s="10" t="s">
        <v>50</v>
      </c>
      <c r="D5" s="10" t="s">
        <v>51</v>
      </c>
      <c r="E5" s="10" t="s">
        <v>52</v>
      </c>
      <c r="F5" s="10" t="s">
        <v>53</v>
      </c>
      <c r="G5" s="10" t="s">
        <v>308</v>
      </c>
      <c r="I5" s="13" t="s">
        <v>305</v>
      </c>
      <c r="J5" s="13" t="s">
        <v>306</v>
      </c>
      <c r="K5" s="6"/>
      <c r="L5" s="13" t="s">
        <v>307</v>
      </c>
      <c r="M5" s="14"/>
    </row>
    <row r="6" spans="1:14" s="7" customFormat="1" ht="12.75" x14ac:dyDescent="0.2">
      <c r="A6" s="7" t="s">
        <v>277</v>
      </c>
      <c r="B6" s="47">
        <f>B30</f>
        <v>27.569999999999993</v>
      </c>
      <c r="C6" s="47">
        <f t="shared" ref="C6:F6" si="0">C30</f>
        <v>24.839999999999996</v>
      </c>
      <c r="D6" s="47">
        <f t="shared" si="0"/>
        <v>29.400000000000009</v>
      </c>
      <c r="E6" s="47">
        <f t="shared" si="0"/>
        <v>26.51</v>
      </c>
      <c r="F6" s="47">
        <f t="shared" si="0"/>
        <v>23.799999999999994</v>
      </c>
      <c r="G6" s="47">
        <f t="shared" ref="G6" si="1">G30</f>
        <v>27.176848480000015</v>
      </c>
      <c r="H6" s="47"/>
      <c r="I6" s="47">
        <f>SUM(D6:E6)</f>
        <v>55.910000000000011</v>
      </c>
      <c r="J6" s="47">
        <f>SUM(F6:G6)</f>
        <v>50.976848480000008</v>
      </c>
      <c r="L6" s="47">
        <f>J6-I6</f>
        <v>-4.9331515200000027</v>
      </c>
      <c r="M6" s="29">
        <f>+IF(I6&lt;&gt;0,IF(ABS((L6)/I6)&gt;1,"n/a ",(L6)/I6*SIGN(I6)),"n/a ")</f>
        <v>-8.8233795743158677E-2</v>
      </c>
    </row>
    <row r="7" spans="1:14" s="7" customFormat="1" ht="12.75" x14ac:dyDescent="0.2">
      <c r="A7" s="7" t="s">
        <v>297</v>
      </c>
      <c r="B7" s="47">
        <f>FUMA!C36/1000</f>
        <v>21.25</v>
      </c>
      <c r="C7" s="47">
        <f>FUMA!E36/1000</f>
        <v>22.885999999999999</v>
      </c>
      <c r="D7" s="47">
        <f>FUMA!G36/1000</f>
        <v>23.606999999999999</v>
      </c>
      <c r="E7" s="47">
        <f>FUMA!I36/1000</f>
        <v>22.385999999999999</v>
      </c>
      <c r="F7" s="47">
        <f>FUMA!K36/1000</f>
        <v>21.847999999999999</v>
      </c>
      <c r="G7" s="47">
        <f>FUMA!M36/1000</f>
        <v>23.509</v>
      </c>
      <c r="H7" s="47"/>
      <c r="I7" s="47">
        <f>E7</f>
        <v>22.385999999999999</v>
      </c>
      <c r="J7" s="47">
        <f>G7</f>
        <v>23.509</v>
      </c>
      <c r="L7" s="47">
        <f t="shared" ref="L7:L13" si="2">J7-I7</f>
        <v>1.1230000000000011</v>
      </c>
      <c r="M7" s="29">
        <f t="shared" ref="M7:M13" si="3">+IF(I7&lt;&gt;0,IF(ABS((L7)/I7)&gt;1,"n/a ",(L7)/I7*SIGN(I7)),"n/a ")</f>
        <v>5.0165281872598999E-2</v>
      </c>
    </row>
    <row r="8" spans="1:14" s="7" customFormat="1" ht="12.75" x14ac:dyDescent="0.2">
      <c r="A8" s="7" t="s">
        <v>298</v>
      </c>
      <c r="B8" s="47">
        <v>21.77221379923143</v>
      </c>
      <c r="C8" s="47">
        <v>22.208345364502854</v>
      </c>
      <c r="D8" s="47">
        <v>23.332650920394286</v>
      </c>
      <c r="E8" s="47">
        <v>22.663595139904285</v>
      </c>
      <c r="F8" s="47">
        <v>22.544198171295712</v>
      </c>
      <c r="G8" s="47">
        <v>22.378446151687143</v>
      </c>
      <c r="H8" s="47"/>
      <c r="I8" s="102">
        <v>22.998123030149287</v>
      </c>
      <c r="J8" s="102">
        <v>22.461322161491427</v>
      </c>
      <c r="L8" s="47">
        <f t="shared" si="2"/>
        <v>-0.53680086865785981</v>
      </c>
      <c r="M8" s="29">
        <f t="shared" si="3"/>
        <v>-2.3341073006442444E-2</v>
      </c>
    </row>
    <row r="9" spans="1:14" s="7" customFormat="1" ht="12.75" x14ac:dyDescent="0.2">
      <c r="A9" s="7" t="s">
        <v>80</v>
      </c>
      <c r="B9" s="47">
        <f>SUM(FUMA!B34:C34)/1000</f>
        <v>-0.32</v>
      </c>
      <c r="C9" s="47">
        <f>SUM(FUMA!D34:E34)/1000</f>
        <v>-0.31</v>
      </c>
      <c r="D9" s="47">
        <f>SUM(FUMA!F34:G34)/1000</f>
        <v>-0.311</v>
      </c>
      <c r="E9" s="47">
        <f>SUM(FUMA!H34:I34)/1000</f>
        <v>-0.13200000000000001</v>
      </c>
      <c r="F9" s="47">
        <f>SUM(FUMA!J34:K34)/1000</f>
        <v>-2.23</v>
      </c>
      <c r="G9" s="47">
        <f>SUM(FUMA!L34:M34)/1000</f>
        <v>-0.41701075639000007</v>
      </c>
      <c r="H9" s="47"/>
      <c r="I9" s="47">
        <f>SUM(D9:E9)</f>
        <v>-0.443</v>
      </c>
      <c r="J9" s="47">
        <f>SUM(F9:G9)</f>
        <v>-2.6470107563900003</v>
      </c>
      <c r="L9" s="47">
        <f t="shared" si="2"/>
        <v>-2.2040107563900002</v>
      </c>
      <c r="M9" s="29" t="str">
        <f t="shared" si="3"/>
        <v xml:space="preserve">n/a </v>
      </c>
    </row>
    <row r="10" spans="1:14" s="7" customFormat="1" ht="12.75" x14ac:dyDescent="0.2">
      <c r="A10" s="7" t="s">
        <v>81</v>
      </c>
      <c r="B10" s="47">
        <f>B25</f>
        <v>32.719999999999992</v>
      </c>
      <c r="C10" s="47">
        <f t="shared" ref="C10:F10" si="4">C25</f>
        <v>30.409999999999997</v>
      </c>
      <c r="D10" s="47">
        <f t="shared" si="4"/>
        <v>34.600000000000009</v>
      </c>
      <c r="E10" s="47">
        <f t="shared" si="4"/>
        <v>31.85</v>
      </c>
      <c r="F10" s="47">
        <f t="shared" si="4"/>
        <v>30.799999999999994</v>
      </c>
      <c r="G10" s="47">
        <f t="shared" ref="G10" si="5">G25</f>
        <v>33.658387180000013</v>
      </c>
      <c r="H10" s="47"/>
      <c r="I10" s="47">
        <f>SUM(D10:E10)</f>
        <v>66.450000000000017</v>
      </c>
      <c r="J10" s="47">
        <f>SUM(F10:G10)</f>
        <v>64.458387180000003</v>
      </c>
      <c r="L10" s="47">
        <f t="shared" si="2"/>
        <v>-1.9916128200000145</v>
      </c>
      <c r="M10" s="29">
        <f t="shared" si="3"/>
        <v>-2.9971600000000209E-2</v>
      </c>
    </row>
    <row r="11" spans="1:14" s="7" customFormat="1" ht="12.75" x14ac:dyDescent="0.2">
      <c r="A11" s="7" t="s">
        <v>79</v>
      </c>
      <c r="B11" s="88">
        <f>B10/(B8*1000)*Ratios!B31/Ratios!B30</f>
        <v>2.9811631622605893E-3</v>
      </c>
      <c r="C11" s="88">
        <f>C10/(C8*1000)*Ratios!C31/Ratios!C30</f>
        <v>2.7613058128675241E-3</v>
      </c>
      <c r="D11" s="88">
        <f>D10/(D8*1000)*Ratios!D31/Ratios!D30</f>
        <v>2.9496825405004282E-3</v>
      </c>
      <c r="E11" s="88">
        <f>E10/(E8*1000)*Ratios!E31/Ratios!E30</f>
        <v>2.8261182572585659E-3</v>
      </c>
      <c r="F11" s="88">
        <f>F10/(F8*1000)*Ratios!F31/Ratios!F30</f>
        <v>2.7101352473360087E-3</v>
      </c>
      <c r="G11" s="88">
        <f>G10/(G8*1000)*Ratios!G31/Ratios!G30</f>
        <v>3.0330366872029601E-3</v>
      </c>
      <c r="I11" s="88">
        <f>I10/(I8*1000)</f>
        <v>2.8893662284042781E-3</v>
      </c>
      <c r="J11" s="88">
        <f>J10/(J8*1000)</f>
        <v>2.8697503520300326E-3</v>
      </c>
      <c r="L11" s="90">
        <f t="shared" si="2"/>
        <v>-1.9615876374245479E-5</v>
      </c>
      <c r="M11" s="29">
        <f t="shared" si="3"/>
        <v>-6.788989288173005E-3</v>
      </c>
    </row>
    <row r="12" spans="1:14" s="7" customFormat="1" ht="12.75" x14ac:dyDescent="0.2">
      <c r="A12" s="7" t="s">
        <v>82</v>
      </c>
      <c r="B12" s="88">
        <f>SUM(B25,B27,B29)/(B8*1000)*Ratios!B31/Ratios!B30</f>
        <v>2.5119397427727521E-3</v>
      </c>
      <c r="C12" s="88">
        <f>SUM(C25,C27,C29)/(C8*1000)*Ratios!C31/Ratios!C30</f>
        <v>2.2555355603955706E-3</v>
      </c>
      <c r="D12" s="88">
        <f>SUM(D25,D27,D29)/(D8*1000)*Ratios!D31/Ratios!D30</f>
        <v>2.5063776500205952E-3</v>
      </c>
      <c r="E12" s="88">
        <f>SUM(E25,E27,E29)/(E8*1000)*Ratios!E31/Ratios!E30</f>
        <v>2.3522886970149008E-3</v>
      </c>
      <c r="F12" s="88">
        <f>SUM(F25,F27,F29)/(F8*1000)*Ratios!F31/Ratios!F30</f>
        <v>2.0941954183960067E-3</v>
      </c>
      <c r="G12" s="88">
        <f>SUM(G25,G27,G29)/(G8*1000)*Ratios!G31/Ratios!G30</f>
        <v>2.4489699414764424E-3</v>
      </c>
      <c r="I12" s="88">
        <f>SUM(I25,I27,I29)/(I8*1000)</f>
        <v>2.4310679583157738E-3</v>
      </c>
      <c r="J12" s="88">
        <f>SUM(J25,J27,J29)/(J8*1000)</f>
        <v>2.2695390820490838E-3</v>
      </c>
      <c r="L12" s="90">
        <f t="shared" si="2"/>
        <v>-1.6152887626669004E-4</v>
      </c>
      <c r="M12" s="29">
        <f t="shared" si="3"/>
        <v>-6.6443587360098352E-2</v>
      </c>
    </row>
    <row r="13" spans="1:14" s="7" customFormat="1" ht="12.75" x14ac:dyDescent="0.2">
      <c r="A13" s="7" t="s">
        <v>73</v>
      </c>
      <c r="B13" s="87">
        <f t="shared" ref="B13:G13" si="6">ABS(B29/(SUM(B25:B27)-B24))</f>
        <v>0.15739608801955995</v>
      </c>
      <c r="C13" s="87">
        <f t="shared" si="6"/>
        <v>0.18316343308122332</v>
      </c>
      <c r="D13" s="87">
        <f t="shared" si="6"/>
        <v>0.15028901734104044</v>
      </c>
      <c r="E13" s="87">
        <f t="shared" si="6"/>
        <v>0.16766091051805337</v>
      </c>
      <c r="F13" s="87">
        <f t="shared" si="6"/>
        <v>0.22727272727272732</v>
      </c>
      <c r="G13" s="87">
        <f t="shared" si="6"/>
        <v>0.1925683089132495</v>
      </c>
      <c r="I13" s="87">
        <f>ABS(I29/(SUM(I25:I27)-I24))</f>
        <v>0.15861550037622271</v>
      </c>
      <c r="J13" s="87">
        <f>ABS(J29/(SUM(J25:J27)-J24))</f>
        <v>0.209151039760781</v>
      </c>
      <c r="L13" s="29">
        <f t="shared" si="2"/>
        <v>5.0535539384558292E-2</v>
      </c>
      <c r="M13" s="29">
        <f t="shared" si="3"/>
        <v>0.31860404099657486</v>
      </c>
    </row>
    <row r="14" spans="1:14" s="7" customFormat="1" ht="12.75" x14ac:dyDescent="0.2"/>
    <row r="15" spans="1:14" ht="18" x14ac:dyDescent="0.25">
      <c r="A15" s="4" t="s">
        <v>264</v>
      </c>
      <c r="B15" s="5"/>
      <c r="C15" s="5"/>
      <c r="D15" s="5"/>
      <c r="E15" s="5"/>
      <c r="F15" s="5"/>
      <c r="G15" s="5"/>
      <c r="H15" s="5"/>
      <c r="I15" s="5"/>
      <c r="J15" s="5"/>
      <c r="K15" s="5"/>
      <c r="L15" s="5"/>
      <c r="M15" s="5"/>
      <c r="N15" s="5"/>
    </row>
    <row r="16" spans="1:14" s="7" customFormat="1" ht="12.75" x14ac:dyDescent="0.2"/>
    <row r="17" spans="1:13" s="7" customFormat="1" ht="12.75" x14ac:dyDescent="0.2">
      <c r="B17" s="9" t="s">
        <v>49</v>
      </c>
      <c r="C17" s="9" t="s">
        <v>50</v>
      </c>
      <c r="D17" s="9" t="s">
        <v>51</v>
      </c>
      <c r="E17" s="9" t="s">
        <v>52</v>
      </c>
      <c r="F17" s="9" t="s">
        <v>53</v>
      </c>
      <c r="G17" s="9" t="s">
        <v>308</v>
      </c>
      <c r="I17" s="11" t="s">
        <v>305</v>
      </c>
      <c r="J17" s="11" t="s">
        <v>306</v>
      </c>
      <c r="K17" s="6"/>
      <c r="L17" s="11" t="s">
        <v>307</v>
      </c>
      <c r="M17" s="12"/>
    </row>
    <row r="18" spans="1:13" s="7" customFormat="1" ht="13.5" thickBot="1" x14ac:dyDescent="0.25">
      <c r="B18" s="10" t="s">
        <v>54</v>
      </c>
      <c r="C18" s="10" t="s">
        <v>54</v>
      </c>
      <c r="D18" s="10" t="s">
        <v>54</v>
      </c>
      <c r="E18" s="10" t="s">
        <v>54</v>
      </c>
      <c r="F18" s="10" t="s">
        <v>54</v>
      </c>
      <c r="G18" s="10" t="s">
        <v>54</v>
      </c>
      <c r="I18" s="10" t="s">
        <v>54</v>
      </c>
      <c r="J18" s="10" t="s">
        <v>54</v>
      </c>
      <c r="K18" s="6"/>
      <c r="L18" s="10" t="s">
        <v>54</v>
      </c>
      <c r="M18" s="10" t="s">
        <v>55</v>
      </c>
    </row>
    <row r="19" spans="1:13" s="7" customFormat="1" ht="12.75" x14ac:dyDescent="0.2">
      <c r="A19" s="78" t="s">
        <v>1</v>
      </c>
    </row>
    <row r="20" spans="1:13" s="7" customFormat="1" ht="12.75" x14ac:dyDescent="0.2">
      <c r="A20" s="79" t="s">
        <v>2</v>
      </c>
      <c r="B20" s="47">
        <v>49.44</v>
      </c>
      <c r="C20" s="47">
        <v>46.25</v>
      </c>
      <c r="D20" s="47">
        <v>51.300000000000004</v>
      </c>
      <c r="E20" s="47">
        <v>47</v>
      </c>
      <c r="F20" s="47">
        <v>46.98</v>
      </c>
      <c r="G20" s="47">
        <v>49.475789060000018</v>
      </c>
      <c r="H20" s="47"/>
      <c r="I20" s="47">
        <f>SUM(D20:E20)</f>
        <v>98.300000000000011</v>
      </c>
      <c r="J20" s="47">
        <f>SUM(F20:G20)</f>
        <v>96.455789060000015</v>
      </c>
      <c r="L20" s="47">
        <f t="shared" ref="L20:L30" si="7">J20-I20</f>
        <v>-1.8442109399999964</v>
      </c>
      <c r="M20" s="29">
        <f t="shared" ref="M20:M30" si="8">+IF(I20&lt;&gt;0,IF(ABS((L20)/I20)&gt;1,"n/a ",(L20)/I20*SIGN(I20)),"n/a ")</f>
        <v>-1.8761047202441466E-2</v>
      </c>
    </row>
    <row r="21" spans="1:13" s="7" customFormat="1" ht="12.75" x14ac:dyDescent="0.2">
      <c r="A21" s="79" t="s">
        <v>3</v>
      </c>
      <c r="B21" s="47">
        <v>1.89</v>
      </c>
      <c r="C21" s="47">
        <v>5.16</v>
      </c>
      <c r="D21" s="47">
        <v>3.6</v>
      </c>
      <c r="E21" s="47">
        <v>3.73</v>
      </c>
      <c r="F21" s="47">
        <v>2.58</v>
      </c>
      <c r="G21" s="47">
        <v>2.4005829100000002</v>
      </c>
      <c r="H21" s="47"/>
      <c r="I21" s="47">
        <f t="shared" ref="I21:I23" si="9">SUM(D21:E21)</f>
        <v>7.33</v>
      </c>
      <c r="J21" s="47">
        <f t="shared" ref="J21:J24" si="10">SUM(F21:G21)</f>
        <v>4.9805829100000008</v>
      </c>
      <c r="L21" s="47">
        <f t="shared" si="7"/>
        <v>-2.3494170899999993</v>
      </c>
      <c r="M21" s="35">
        <f t="shared" si="8"/>
        <v>-0.32052074897680755</v>
      </c>
    </row>
    <row r="22" spans="1:13" s="7" customFormat="1" ht="12.75" x14ac:dyDescent="0.2">
      <c r="A22" s="79" t="s">
        <v>4</v>
      </c>
      <c r="B22" s="47">
        <v>-15.73</v>
      </c>
      <c r="C22" s="47">
        <v>-17.93</v>
      </c>
      <c r="D22" s="47">
        <v>-17</v>
      </c>
      <c r="E22" s="47">
        <v>-16.12</v>
      </c>
      <c r="F22" s="47">
        <v>-15.57</v>
      </c>
      <c r="G22" s="47">
        <v>-15.426016490000004</v>
      </c>
      <c r="H22" s="47"/>
      <c r="I22" s="47">
        <f t="shared" si="9"/>
        <v>-33.120000000000005</v>
      </c>
      <c r="J22" s="47">
        <f>SUM(F22:G22)</f>
        <v>-30.996016490000002</v>
      </c>
      <c r="L22" s="47">
        <f t="shared" si="7"/>
        <v>2.1239835100000022</v>
      </c>
      <c r="M22" s="35">
        <f>+IF(I22&lt;&gt;0,IF(ABS((L22)/I22)&gt;1,"n/a ",(L22)/I22*SIGN(I22)),"n/a ")</f>
        <v>6.4129936896135317E-2</v>
      </c>
    </row>
    <row r="23" spans="1:13" s="7" customFormat="1" ht="12.75" x14ac:dyDescent="0.2">
      <c r="A23" s="79" t="s">
        <v>5</v>
      </c>
      <c r="B23" s="47">
        <v>-2.88</v>
      </c>
      <c r="C23" s="47">
        <v>-3.07</v>
      </c>
      <c r="D23" s="47">
        <v>-3.3000000000000003</v>
      </c>
      <c r="E23" s="47">
        <v>-2.76</v>
      </c>
      <c r="F23" s="47">
        <v>-3.19</v>
      </c>
      <c r="G23" s="47">
        <v>-2.7919682999999997</v>
      </c>
      <c r="H23" s="47"/>
      <c r="I23" s="47">
        <f t="shared" si="9"/>
        <v>-6.0600000000000005</v>
      </c>
      <c r="J23" s="47">
        <f t="shared" si="10"/>
        <v>-5.9819683000000001</v>
      </c>
      <c r="L23" s="47">
        <f t="shared" si="7"/>
        <v>7.803170000000037E-2</v>
      </c>
      <c r="M23" s="35">
        <f t="shared" si="8"/>
        <v>1.2876518151815241E-2</v>
      </c>
    </row>
    <row r="24" spans="1:13" s="7" customFormat="1" ht="12.75" x14ac:dyDescent="0.2">
      <c r="A24" s="79" t="s">
        <v>6</v>
      </c>
      <c r="B24" s="48">
        <v>0</v>
      </c>
      <c r="C24" s="48">
        <v>0</v>
      </c>
      <c r="D24" s="48">
        <v>0</v>
      </c>
      <c r="E24" s="48">
        <v>0</v>
      </c>
      <c r="F24" s="48">
        <v>0</v>
      </c>
      <c r="G24" s="48">
        <v>0</v>
      </c>
      <c r="H24" s="47"/>
      <c r="I24" s="48">
        <f>SUM(D24:E24)</f>
        <v>0</v>
      </c>
      <c r="J24" s="48">
        <f t="shared" si="10"/>
        <v>0</v>
      </c>
      <c r="K24" s="42"/>
      <c r="L24" s="55">
        <f t="shared" si="7"/>
        <v>0</v>
      </c>
      <c r="M24" s="43" t="str">
        <f t="shared" si="8"/>
        <v xml:space="preserve">n/a </v>
      </c>
    </row>
    <row r="25" spans="1:13" s="7" customFormat="1" ht="12.75" x14ac:dyDescent="0.2">
      <c r="A25" s="78" t="s">
        <v>7</v>
      </c>
      <c r="B25" s="50">
        <f>SUM(B20:B24)</f>
        <v>32.719999999999992</v>
      </c>
      <c r="C25" s="50">
        <f t="shared" ref="C25:J25" si="11">SUM(C20:C24)</f>
        <v>30.409999999999997</v>
      </c>
      <c r="D25" s="118">
        <f>SUM(D20:D24)</f>
        <v>34.600000000000009</v>
      </c>
      <c r="E25" s="50">
        <f t="shared" si="11"/>
        <v>31.85</v>
      </c>
      <c r="F25" s="50">
        <f t="shared" si="11"/>
        <v>30.799999999999994</v>
      </c>
      <c r="G25" s="50">
        <f t="shared" si="11"/>
        <v>33.658387180000013</v>
      </c>
      <c r="H25" s="47"/>
      <c r="I25" s="50">
        <f>SUM(I20:I24)</f>
        <v>66.45</v>
      </c>
      <c r="J25" s="50">
        <f t="shared" si="11"/>
        <v>64.458387180000003</v>
      </c>
      <c r="K25" s="40"/>
      <c r="L25" s="56">
        <f t="shared" si="7"/>
        <v>-1.9916128200000003</v>
      </c>
      <c r="M25" s="39">
        <f t="shared" si="8"/>
        <v>-2.9971600000000004E-2</v>
      </c>
    </row>
    <row r="26" spans="1:13" s="7" customFormat="1" ht="12.75" x14ac:dyDescent="0.2">
      <c r="A26" s="78"/>
      <c r="B26" s="50"/>
      <c r="C26" s="50"/>
      <c r="D26" s="50"/>
      <c r="E26" s="50"/>
      <c r="F26" s="50"/>
      <c r="G26" s="50"/>
      <c r="H26" s="47"/>
      <c r="I26" s="50"/>
      <c r="J26" s="50"/>
      <c r="K26" s="40"/>
      <c r="L26" s="56"/>
      <c r="M26" s="39"/>
    </row>
    <row r="27" spans="1:13" s="7" customFormat="1" ht="12.75" x14ac:dyDescent="0.2">
      <c r="A27" s="79" t="s">
        <v>8</v>
      </c>
      <c r="B27" s="47">
        <v>0</v>
      </c>
      <c r="C27" s="47">
        <v>0</v>
      </c>
      <c r="D27" s="47">
        <v>0</v>
      </c>
      <c r="E27" s="47">
        <v>0</v>
      </c>
      <c r="F27" s="47">
        <v>0</v>
      </c>
      <c r="G27" s="47">
        <v>0</v>
      </c>
      <c r="H27" s="47"/>
      <c r="I27" s="47">
        <f t="shared" ref="I27" si="12">SUM(D27:E27)</f>
        <v>0</v>
      </c>
      <c r="J27" s="47">
        <f>SUM(F27:G27)</f>
        <v>0</v>
      </c>
      <c r="K27" s="42"/>
      <c r="L27" s="57">
        <f t="shared" si="7"/>
        <v>0</v>
      </c>
      <c r="M27" s="41" t="str">
        <f t="shared" si="8"/>
        <v xml:space="preserve">n/a </v>
      </c>
    </row>
    <row r="28" spans="1:13" s="7" customFormat="1" ht="12.75" x14ac:dyDescent="0.2">
      <c r="A28" s="79" t="s">
        <v>15</v>
      </c>
      <c r="B28" s="47">
        <v>0</v>
      </c>
      <c r="C28" s="47">
        <v>0</v>
      </c>
      <c r="D28" s="47">
        <v>0</v>
      </c>
      <c r="E28" s="47">
        <v>0</v>
      </c>
      <c r="F28" s="47">
        <v>0</v>
      </c>
      <c r="G28" s="47">
        <v>0</v>
      </c>
      <c r="H28" s="47"/>
      <c r="I28" s="47">
        <f>SUM(D28:E28)</f>
        <v>0</v>
      </c>
      <c r="J28" s="47">
        <f>SUM(F28:G28)</f>
        <v>0</v>
      </c>
      <c r="K28" s="42"/>
      <c r="L28" s="57">
        <f t="shared" si="7"/>
        <v>0</v>
      </c>
      <c r="M28" s="41" t="str">
        <f t="shared" si="8"/>
        <v xml:space="preserve">n/a </v>
      </c>
    </row>
    <row r="29" spans="1:13" s="7" customFormat="1" ht="12.75" x14ac:dyDescent="0.2">
      <c r="A29" s="79" t="s">
        <v>259</v>
      </c>
      <c r="B29" s="47">
        <v>-5.15</v>
      </c>
      <c r="C29" s="47">
        <v>-5.57</v>
      </c>
      <c r="D29" s="47">
        <v>-5.2</v>
      </c>
      <c r="E29" s="47">
        <v>-5.34</v>
      </c>
      <c r="F29" s="47">
        <v>-7</v>
      </c>
      <c r="G29" s="47">
        <v>-6.4815386999999989</v>
      </c>
      <c r="H29" s="47"/>
      <c r="I29" s="47">
        <f>SUM(D29:E29)</f>
        <v>-10.54</v>
      </c>
      <c r="J29" s="47">
        <f t="shared" ref="J29" si="13">SUM(F29:G29)</f>
        <v>-13.481538699999998</v>
      </c>
      <c r="K29" s="42"/>
      <c r="L29" s="57">
        <f>J29-I29</f>
        <v>-2.9415386999999988</v>
      </c>
      <c r="M29" s="41">
        <f t="shared" si="8"/>
        <v>-0.27908336812144202</v>
      </c>
    </row>
    <row r="30" spans="1:13" s="7" customFormat="1" ht="13.5" thickBot="1" x14ac:dyDescent="0.25">
      <c r="A30" s="78" t="s">
        <v>276</v>
      </c>
      <c r="B30" s="53">
        <f>SUM(B25:B29)</f>
        <v>27.569999999999993</v>
      </c>
      <c r="C30" s="53">
        <f t="shared" ref="C30:J30" si="14">SUM(C25:C29)</f>
        <v>24.839999999999996</v>
      </c>
      <c r="D30" s="53">
        <f t="shared" si="14"/>
        <v>29.400000000000009</v>
      </c>
      <c r="E30" s="53">
        <f t="shared" si="14"/>
        <v>26.51</v>
      </c>
      <c r="F30" s="53">
        <f t="shared" si="14"/>
        <v>23.799999999999994</v>
      </c>
      <c r="G30" s="53">
        <f t="shared" si="14"/>
        <v>27.176848480000015</v>
      </c>
      <c r="H30" s="47"/>
      <c r="I30" s="53">
        <f>SUM(I25:I29)</f>
        <v>55.910000000000004</v>
      </c>
      <c r="J30" s="53">
        <f t="shared" si="14"/>
        <v>50.976848480000001</v>
      </c>
      <c r="K30" s="40"/>
      <c r="L30" s="58">
        <f t="shared" si="7"/>
        <v>-4.9331515200000027</v>
      </c>
      <c r="M30" s="44">
        <f t="shared" si="8"/>
        <v>-8.8233795743158691E-2</v>
      </c>
    </row>
    <row r="31" spans="1:13" ht="15" thickTop="1" x14ac:dyDescent="0.2">
      <c r="A31" s="80"/>
    </row>
    <row r="32" spans="1:13" x14ac:dyDescent="0.2">
      <c r="A32" s="8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ignoredErrors>
    <ignoredError sqref="B9:O10 B12:O14 B11:F11 H11:O11 B16:O19 B15:M15 O15 B25:O26 B20:F20 H20:O20 B21:F21 H21:O21 B22:F22 H22:O22 B23:F23 H23:O23 B24:F24 H24:O24 B30:O37 B27:F27 H27:O27 B28:F28 H28:O28 B29:F29 H29:O2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F2857D-00B4-4FA4-985E-7ADFE51F8529}">
  <sheetPr>
    <pageSetUpPr fitToPage="1"/>
  </sheetPr>
  <dimension ref="A1:P44"/>
  <sheetViews>
    <sheetView showGridLines="0" zoomScaleNormal="100" workbookViewId="0">
      <selection activeCell="O5" sqref="O5"/>
    </sheetView>
  </sheetViews>
  <sheetFormatPr defaultRowHeight="14.25" x14ac:dyDescent="0.2"/>
  <cols>
    <col min="1" max="1" width="48.42578125" style="3" customWidth="1"/>
    <col min="2" max="7" width="9.28515625" style="3" customWidth="1"/>
    <col min="8" max="8" width="2.140625" style="3" customWidth="1"/>
    <col min="9" max="10" width="9.140625" style="3"/>
    <col min="11" max="11" width="2.140625" style="3" customWidth="1"/>
    <col min="12" max="13" width="9.140625" style="3"/>
    <col min="14" max="14" width="16.14062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86</v>
      </c>
      <c r="B3" s="5"/>
      <c r="C3" s="5"/>
      <c r="D3" s="5"/>
      <c r="E3" s="5"/>
      <c r="F3" s="5"/>
      <c r="G3" s="5"/>
      <c r="H3" s="5"/>
      <c r="I3" s="5"/>
      <c r="J3" s="5"/>
      <c r="K3" s="5"/>
      <c r="L3" s="5"/>
      <c r="M3" s="5"/>
      <c r="N3" s="5"/>
    </row>
    <row r="4" spans="1:14" s="7" customFormat="1" ht="12.75" x14ac:dyDescent="0.2">
      <c r="A4" s="27" t="s">
        <v>309</v>
      </c>
    </row>
    <row r="5" spans="1:14" s="7" customFormat="1" ht="13.5" thickBot="1" x14ac:dyDescent="0.25">
      <c r="B5" s="15"/>
      <c r="C5" s="15"/>
      <c r="D5" s="15"/>
      <c r="E5" s="10" t="s">
        <v>52</v>
      </c>
      <c r="F5" s="10" t="s">
        <v>53</v>
      </c>
      <c r="G5" s="10" t="s">
        <v>308</v>
      </c>
      <c r="I5" s="13" t="s">
        <v>305</v>
      </c>
      <c r="J5" s="13" t="s">
        <v>306</v>
      </c>
      <c r="K5" s="6"/>
      <c r="L5" s="13" t="s">
        <v>307</v>
      </c>
      <c r="M5" s="14"/>
    </row>
    <row r="6" spans="1:14" s="7" customFormat="1" ht="12.75" x14ac:dyDescent="0.2">
      <c r="A6" s="7" t="s">
        <v>277</v>
      </c>
      <c r="B6" s="91"/>
      <c r="C6" s="20"/>
      <c r="D6" s="20"/>
      <c r="E6" s="47">
        <f>E30</f>
        <v>37.37364491999999</v>
      </c>
      <c r="F6" s="47">
        <f>F30</f>
        <v>49.292302549999974</v>
      </c>
      <c r="G6" s="47">
        <f>G30</f>
        <v>69.132863999999998</v>
      </c>
      <c r="H6" s="47"/>
      <c r="I6" s="47">
        <f>SUM(D6:E6)</f>
        <v>37.37364491999999</v>
      </c>
      <c r="J6" s="47">
        <f>SUM(F6:G6)</f>
        <v>118.42516654999997</v>
      </c>
      <c r="L6" s="47">
        <f>J6-I6</f>
        <v>81.051521629999982</v>
      </c>
      <c r="M6" s="29" t="str">
        <f>+IF(I6&lt;&gt;0,IF(ABS((L6)/I6)&gt;1,"n/a ",(L6)/I6*SIGN(I6)),"n/a ")</f>
        <v xml:space="preserve">n/a </v>
      </c>
    </row>
    <row r="7" spans="1:14" s="7" customFormat="1" ht="12.75" x14ac:dyDescent="0.2">
      <c r="A7" s="7" t="s">
        <v>77</v>
      </c>
      <c r="B7" s="20"/>
      <c r="C7" s="20"/>
      <c r="D7" s="20"/>
      <c r="E7" s="47">
        <f>SUM(FUMA!I48,FUMA!I61)/1000</f>
        <v>67.388999999999996</v>
      </c>
      <c r="F7" s="47">
        <f>SUM(FUMA!K48,FUMA!K61)/1000</f>
        <v>70.415000000000006</v>
      </c>
      <c r="G7" s="47">
        <f>SUM(FUMA!M48,FUMA!M61)/1000</f>
        <v>80.275000000000006</v>
      </c>
      <c r="H7" s="47"/>
      <c r="I7" s="47">
        <f>E7</f>
        <v>67.388999999999996</v>
      </c>
      <c r="J7" s="47">
        <f>G7</f>
        <v>80.275000000000006</v>
      </c>
      <c r="L7" s="47">
        <f t="shared" ref="L7:L13" si="0">J7-I7</f>
        <v>12.88600000000001</v>
      </c>
      <c r="M7" s="29">
        <f t="shared" ref="M7:M13" si="1">+IF(I7&lt;&gt;0,IF(ABS((L7)/I7)&gt;1,"n/a ",(L7)/I7*SIGN(I7)),"n/a ")</f>
        <v>0.19121815133033598</v>
      </c>
    </row>
    <row r="8" spans="1:14" s="7" customFormat="1" ht="12.75" x14ac:dyDescent="0.2">
      <c r="A8" s="7" t="s">
        <v>78</v>
      </c>
      <c r="B8" s="20"/>
      <c r="C8" s="20"/>
      <c r="D8" s="20"/>
      <c r="E8" s="47">
        <v>69.761692555758344</v>
      </c>
      <c r="F8" s="47">
        <v>68.265748117425716</v>
      </c>
      <c r="G8" s="47">
        <v>73.447652690072857</v>
      </c>
      <c r="H8" s="47"/>
      <c r="I8" s="102">
        <v>69.761692555758344</v>
      </c>
      <c r="J8" s="102">
        <v>70.856700403749286</v>
      </c>
      <c r="L8" s="47">
        <f t="shared" si="0"/>
        <v>1.0950078479909422</v>
      </c>
      <c r="M8" s="29">
        <f>+IF(I8&lt;&gt;0,IF(ABS((L8)/I8)&gt;1,"n/a ",(L8)/I8*SIGN(I8)),"n/a ")</f>
        <v>1.5696405976901098E-2</v>
      </c>
    </row>
    <row r="9" spans="1:14" s="7" customFormat="1" ht="12.75" x14ac:dyDescent="0.2">
      <c r="A9" s="7" t="s">
        <v>80</v>
      </c>
      <c r="B9" s="20"/>
      <c r="C9" s="20"/>
      <c r="D9" s="20"/>
      <c r="E9" s="47">
        <f>SUM(FUMA!H44:I44,FUMA!H56:I56)/1000</f>
        <v>-0.82399999999999995</v>
      </c>
      <c r="F9" s="47">
        <f>SUM(FUMA!J44:K44,FUMA!J56:K56)/1000</f>
        <v>-1.036</v>
      </c>
      <c r="G9" s="47">
        <f>SUM(FUMA!L44:M44,FUMA!L56:M56)/1000</f>
        <v>-1.6777906885400007</v>
      </c>
      <c r="H9" s="47"/>
      <c r="I9" s="47">
        <f>SUM(D9:E9)</f>
        <v>-0.82399999999999995</v>
      </c>
      <c r="J9" s="47">
        <f>SUM(F9:G9)</f>
        <v>-2.7137906885400005</v>
      </c>
      <c r="L9" s="47">
        <f t="shared" si="0"/>
        <v>-1.8897906885400007</v>
      </c>
      <c r="M9" s="29" t="str">
        <f t="shared" si="1"/>
        <v xml:space="preserve">n/a </v>
      </c>
    </row>
    <row r="10" spans="1:14" s="7" customFormat="1" ht="12.75" x14ac:dyDescent="0.2">
      <c r="A10" s="7" t="s">
        <v>81</v>
      </c>
      <c r="B10" s="20"/>
      <c r="C10" s="20"/>
      <c r="D10" s="20"/>
      <c r="E10" s="47">
        <f>E25</f>
        <v>100.87364491999999</v>
      </c>
      <c r="F10" s="47">
        <f>F25</f>
        <v>125.34230254999997</v>
      </c>
      <c r="G10" s="47">
        <f>G25</f>
        <v>143.57715761</v>
      </c>
      <c r="H10" s="47"/>
      <c r="I10" s="47">
        <f>SUM(D10:E10)</f>
        <v>100.87364491999999</v>
      </c>
      <c r="J10" s="47">
        <f>SUM(F10:G10)</f>
        <v>268.91946015999997</v>
      </c>
      <c r="L10" s="47">
        <f t="shared" si="0"/>
        <v>168.04581523999997</v>
      </c>
      <c r="M10" s="29" t="str">
        <f t="shared" si="1"/>
        <v xml:space="preserve">n/a </v>
      </c>
    </row>
    <row r="11" spans="1:14" s="7" customFormat="1" ht="12.75" x14ac:dyDescent="0.2">
      <c r="A11" s="7" t="s">
        <v>79</v>
      </c>
      <c r="B11" s="20"/>
      <c r="C11" s="20"/>
      <c r="D11" s="20"/>
      <c r="E11" s="88">
        <f>E10/(E8*1000)*Ratios!E31/(Ratios!E30-30)</f>
        <v>3.4817549544803616E-3</v>
      </c>
      <c r="F11" s="88">
        <f>F10/(F8*1000)*Ratios!F31/Ratios!F30</f>
        <v>3.6422508719044316E-3</v>
      </c>
      <c r="G11" s="88">
        <f>G10/(G8*1000)*Ratios!G31/Ratios!G30</f>
        <v>3.9420462943293173E-3</v>
      </c>
      <c r="I11" s="88">
        <f>I10/(I8*1000)*Ratios!E31/151</f>
        <v>3.5048129343113574E-3</v>
      </c>
      <c r="J11" s="88">
        <f>J10/(J8*1000)</f>
        <v>3.7952580155111268E-3</v>
      </c>
      <c r="L11" s="88">
        <f>J11-I11</f>
        <v>2.9044508119976942E-4</v>
      </c>
      <c r="M11" s="29">
        <f t="shared" si="1"/>
        <v>8.2870351897065653E-2</v>
      </c>
    </row>
    <row r="12" spans="1:14" s="7" customFormat="1" ht="12.75" x14ac:dyDescent="0.2">
      <c r="A12" s="7" t="s">
        <v>82</v>
      </c>
      <c r="B12" s="20"/>
      <c r="C12" s="20"/>
      <c r="D12" s="20"/>
      <c r="E12" s="88">
        <f>SUM(E25,E27,E29)/(E8*1000)*Ratios!E31/(Ratios!E30-30)</f>
        <v>1.289988811947847E-3</v>
      </c>
      <c r="F12" s="88">
        <f>SUM(F25,F27,F29)/(F8*1000)*Ratios!F31/Ratios!F30</f>
        <v>1.4323570597348542E-3</v>
      </c>
      <c r="G12" s="88">
        <f>SUM(G25,G27,G29)/(G8*1000)*Ratios!G31/Ratios!G30</f>
        <v>1.8981079921350354E-3</v>
      </c>
      <c r="I12" s="88">
        <f>SUM(I25,I27,I29)/(I8*1000)*Ratios!E31/151</f>
        <v>1.2985317842124022E-3</v>
      </c>
      <c r="J12" s="88">
        <f>SUM(J25,J27,J29)/(J8*1000)</f>
        <v>1.6713333513302246E-3</v>
      </c>
      <c r="L12" s="88">
        <f t="shared" si="0"/>
        <v>3.728015671178224E-4</v>
      </c>
      <c r="M12" s="29">
        <f t="shared" si="1"/>
        <v>0.28709468004584698</v>
      </c>
    </row>
    <row r="13" spans="1:14" s="7" customFormat="1" ht="12.75" x14ac:dyDescent="0.2">
      <c r="A13" s="7" t="s">
        <v>73</v>
      </c>
      <c r="B13" s="20"/>
      <c r="C13" s="20"/>
      <c r="D13" s="20"/>
      <c r="E13" s="87">
        <f>ABS(E29/(SUM(E25:E27)-E24))</f>
        <v>0.6314732110310981</v>
      </c>
      <c r="F13" s="87">
        <f>ABS(F29/(SUM(F25:F27)-F24))</f>
        <v>0.60689530738663366</v>
      </c>
      <c r="G13" s="87">
        <f>ABS(G29/(SUM(G25:G27)-G24))</f>
        <v>0.51869869657356371</v>
      </c>
      <c r="I13" s="87">
        <f>ABS(I29/(SUM(I25:I27)-I24))</f>
        <v>0.6314732110310981</v>
      </c>
      <c r="J13" s="87">
        <f>ABS(J29/(SUM(J25:J27)-J24))</f>
        <v>0.55980633758930121</v>
      </c>
      <c r="L13" s="29">
        <f t="shared" si="0"/>
        <v>-7.1666873441796897E-2</v>
      </c>
      <c r="M13" s="29">
        <f t="shared" si="1"/>
        <v>-0.11349154990245108</v>
      </c>
    </row>
    <row r="14" spans="1:14" s="7" customFormat="1" ht="12.75" x14ac:dyDescent="0.2"/>
    <row r="15" spans="1:14" ht="18" x14ac:dyDescent="0.25">
      <c r="A15" s="4" t="s">
        <v>265</v>
      </c>
      <c r="B15" s="93"/>
      <c r="C15" s="93"/>
      <c r="D15" s="93"/>
      <c r="E15" s="5"/>
      <c r="F15" s="5"/>
      <c r="G15" s="5"/>
      <c r="H15" s="5"/>
      <c r="I15" s="5"/>
      <c r="J15" s="5"/>
      <c r="K15" s="5"/>
      <c r="L15" s="5"/>
      <c r="M15" s="5"/>
      <c r="N15" s="5"/>
    </row>
    <row r="16" spans="1:14" s="7" customFormat="1" ht="12.75" x14ac:dyDescent="0.2">
      <c r="A16" s="27" t="s">
        <v>360</v>
      </c>
      <c r="B16" s="20"/>
      <c r="C16" s="20"/>
      <c r="D16" s="20"/>
    </row>
    <row r="17" spans="1:14" s="7" customFormat="1" ht="12.75" x14ac:dyDescent="0.2">
      <c r="B17" s="15"/>
      <c r="C17" s="15"/>
      <c r="D17" s="15"/>
      <c r="E17" s="9" t="s">
        <v>52</v>
      </c>
      <c r="F17" s="9" t="s">
        <v>53</v>
      </c>
      <c r="G17" s="9" t="s">
        <v>308</v>
      </c>
      <c r="I17" s="11" t="s">
        <v>305</v>
      </c>
      <c r="J17" s="11" t="s">
        <v>306</v>
      </c>
      <c r="K17" s="6"/>
      <c r="L17" s="11" t="s">
        <v>307</v>
      </c>
      <c r="M17" s="12"/>
    </row>
    <row r="18" spans="1:14" s="7" customFormat="1" ht="13.5" thickBot="1" x14ac:dyDescent="0.25">
      <c r="B18" s="15"/>
      <c r="C18" s="15"/>
      <c r="D18" s="15"/>
      <c r="E18" s="10" t="s">
        <v>54</v>
      </c>
      <c r="F18" s="10" t="s">
        <v>54</v>
      </c>
      <c r="G18" s="10" t="s">
        <v>54</v>
      </c>
      <c r="I18" s="10" t="s">
        <v>54</v>
      </c>
      <c r="J18" s="10" t="s">
        <v>54</v>
      </c>
      <c r="K18" s="6"/>
      <c r="L18" s="10" t="s">
        <v>54</v>
      </c>
      <c r="M18" s="10" t="s">
        <v>55</v>
      </c>
    </row>
    <row r="19" spans="1:14" s="7" customFormat="1" ht="12.75" x14ac:dyDescent="0.2">
      <c r="A19" s="78" t="s">
        <v>1</v>
      </c>
      <c r="B19" s="20"/>
      <c r="C19" s="20"/>
      <c r="D19" s="149"/>
      <c r="E19" s="81"/>
      <c r="F19" s="81"/>
      <c r="G19" s="81"/>
    </row>
    <row r="20" spans="1:14" s="7" customFormat="1" ht="12.75" x14ac:dyDescent="0.2">
      <c r="A20" s="79" t="s">
        <v>2</v>
      </c>
      <c r="B20" s="91"/>
      <c r="C20" s="91"/>
      <c r="D20" s="150"/>
      <c r="E20" s="156">
        <v>114.38881443</v>
      </c>
      <c r="F20" s="156">
        <v>152.89261145999998</v>
      </c>
      <c r="G20" s="102">
        <v>167.09874608999996</v>
      </c>
      <c r="H20" s="47"/>
      <c r="I20" s="47">
        <f>SUM(D20:E20)</f>
        <v>114.38881443</v>
      </c>
      <c r="J20" s="47">
        <f>SUM(F20:G20)</f>
        <v>319.99135754999998</v>
      </c>
      <c r="L20" s="47">
        <f t="shared" ref="L20:L30" si="2">J20-I20</f>
        <v>205.60254311999998</v>
      </c>
      <c r="M20" s="29" t="str">
        <f t="shared" ref="M20:M30" si="3">+IF(I20&lt;&gt;0,IF(ABS((L20)/I20)&gt;1,"n/a ",(L20)/I20*SIGN(I20)),"n/a ")</f>
        <v xml:space="preserve">n/a </v>
      </c>
    </row>
    <row r="21" spans="1:14" s="7" customFormat="1" ht="12.75" x14ac:dyDescent="0.2">
      <c r="A21" s="79" t="s">
        <v>3</v>
      </c>
      <c r="B21" s="91"/>
      <c r="C21" s="91"/>
      <c r="D21" s="150"/>
      <c r="E21" s="102">
        <v>2.93</v>
      </c>
      <c r="F21" s="102">
        <v>5.47</v>
      </c>
      <c r="G21" s="102">
        <v>3.6659262200000176</v>
      </c>
      <c r="H21" s="47"/>
      <c r="I21" s="47">
        <f t="shared" ref="I21:I23" si="4">SUM(D21:E21)</f>
        <v>2.93</v>
      </c>
      <c r="J21" s="47">
        <f t="shared" ref="J21:J24" si="5">SUM(F21:G21)</f>
        <v>9.1359262200000178</v>
      </c>
      <c r="L21" s="47">
        <f t="shared" si="2"/>
        <v>6.205926220000018</v>
      </c>
      <c r="M21" s="29" t="str">
        <f>+IF(I21&lt;&gt;0,IF(ABS((L21)/I21)&gt;1,"n/a ",(L21)/I21*SIGN(I21)),"n/a ")</f>
        <v xml:space="preserve">n/a </v>
      </c>
    </row>
    <row r="22" spans="1:14" s="7" customFormat="1" ht="12.75" x14ac:dyDescent="0.2">
      <c r="A22" s="79" t="s">
        <v>4</v>
      </c>
      <c r="B22" s="91"/>
      <c r="C22" s="91"/>
      <c r="D22" s="150"/>
      <c r="E22" s="156">
        <v>-7.0251695100000102</v>
      </c>
      <c r="F22" s="156">
        <v>-22.960308910000016</v>
      </c>
      <c r="G22" s="102">
        <v>-17.082467759999989</v>
      </c>
      <c r="H22" s="47"/>
      <c r="I22" s="47">
        <f t="shared" si="4"/>
        <v>-7.0251695100000102</v>
      </c>
      <c r="J22" s="47">
        <f>SUM(F22:G22)</f>
        <v>-40.042776670000009</v>
      </c>
      <c r="L22" s="47">
        <f>J22-I22</f>
        <v>-33.017607159999997</v>
      </c>
      <c r="M22" s="29" t="str">
        <f>+IF(I22&lt;&gt;0,IF(ABS((L22)/I22)&gt;1,"n/a ",(L22)/I22*SIGN(I22)),"n/a ")</f>
        <v xml:space="preserve">n/a </v>
      </c>
    </row>
    <row r="23" spans="1:14" s="7" customFormat="1" ht="12.75" x14ac:dyDescent="0.2">
      <c r="A23" s="79" t="s">
        <v>5</v>
      </c>
      <c r="B23" s="91"/>
      <c r="C23" s="91"/>
      <c r="D23" s="150"/>
      <c r="E23" s="102">
        <v>-9.42</v>
      </c>
      <c r="F23" s="102">
        <v>-10.06</v>
      </c>
      <c r="G23" s="102">
        <v>-10.105046939999998</v>
      </c>
      <c r="H23" s="47"/>
      <c r="I23" s="47">
        <f t="shared" si="4"/>
        <v>-9.42</v>
      </c>
      <c r="J23" s="47">
        <f t="shared" si="5"/>
        <v>-20.165046939999996</v>
      </c>
      <c r="L23" s="47">
        <f t="shared" si="2"/>
        <v>-10.745046939999996</v>
      </c>
      <c r="M23" s="29" t="str">
        <f t="shared" si="3"/>
        <v xml:space="preserve">n/a </v>
      </c>
    </row>
    <row r="24" spans="1:14" s="7" customFormat="1" ht="12.75" x14ac:dyDescent="0.2">
      <c r="A24" s="79" t="s">
        <v>6</v>
      </c>
      <c r="B24" s="91"/>
      <c r="C24" s="91"/>
      <c r="D24" s="91"/>
      <c r="E24" s="48">
        <v>0</v>
      </c>
      <c r="F24" s="48">
        <v>0</v>
      </c>
      <c r="G24" s="48">
        <v>0</v>
      </c>
      <c r="H24" s="47"/>
      <c r="I24" s="48">
        <f>SUM(D24:E24)</f>
        <v>0</v>
      </c>
      <c r="J24" s="48">
        <f t="shared" si="5"/>
        <v>0</v>
      </c>
      <c r="K24" s="42"/>
      <c r="L24" s="55">
        <f t="shared" si="2"/>
        <v>0</v>
      </c>
      <c r="M24" s="43" t="str">
        <f t="shared" si="3"/>
        <v xml:space="preserve">n/a </v>
      </c>
    </row>
    <row r="25" spans="1:14" s="7" customFormat="1" ht="12.75" x14ac:dyDescent="0.2">
      <c r="A25" s="78" t="s">
        <v>7</v>
      </c>
      <c r="B25" s="92"/>
      <c r="C25" s="92"/>
      <c r="D25" s="92"/>
      <c r="E25" s="50">
        <f t="shared" ref="E25:J25" si="6">SUM(E20:E24)</f>
        <v>100.87364491999999</v>
      </c>
      <c r="F25" s="50">
        <f t="shared" si="6"/>
        <v>125.34230254999997</v>
      </c>
      <c r="G25" s="50">
        <f t="shared" si="6"/>
        <v>143.57715761</v>
      </c>
      <c r="H25" s="47"/>
      <c r="I25" s="50">
        <f>SUM(I20:I24)</f>
        <v>100.87364491999999</v>
      </c>
      <c r="J25" s="50">
        <f t="shared" si="6"/>
        <v>268.91946015999997</v>
      </c>
      <c r="K25" s="40"/>
      <c r="L25" s="56">
        <f t="shared" si="2"/>
        <v>168.04581523999997</v>
      </c>
      <c r="M25" s="39" t="str">
        <f t="shared" si="3"/>
        <v xml:space="preserve">n/a </v>
      </c>
    </row>
    <row r="26" spans="1:14" s="7" customFormat="1" ht="12.75" x14ac:dyDescent="0.2">
      <c r="A26" s="78"/>
      <c r="B26" s="92"/>
      <c r="C26" s="92"/>
      <c r="D26" s="92"/>
      <c r="E26" s="50"/>
      <c r="F26" s="50"/>
      <c r="G26" s="50"/>
      <c r="H26" s="47"/>
      <c r="I26" s="50"/>
      <c r="J26" s="50"/>
      <c r="K26" s="40"/>
      <c r="L26" s="56"/>
      <c r="M26" s="39"/>
    </row>
    <row r="27" spans="1:14" s="7" customFormat="1" ht="12.75" x14ac:dyDescent="0.2">
      <c r="A27" s="79" t="s">
        <v>8</v>
      </c>
      <c r="B27" s="91"/>
      <c r="C27" s="91"/>
      <c r="D27" s="91"/>
      <c r="E27" s="47">
        <v>0.54</v>
      </c>
      <c r="F27" s="47">
        <v>0.05</v>
      </c>
      <c r="G27" s="47">
        <v>6.0234409999997025E-2</v>
      </c>
      <c r="H27" s="47"/>
      <c r="I27" s="47">
        <f t="shared" ref="I27" si="7">SUM(D27:E27)</f>
        <v>0.54</v>
      </c>
      <c r="J27" s="47">
        <f>SUM(F27:G27)</f>
        <v>0.11023440999999704</v>
      </c>
      <c r="K27" s="42"/>
      <c r="L27" s="57">
        <f>J27-I27</f>
        <v>-0.42976559000000303</v>
      </c>
      <c r="M27" s="41">
        <f>+IF(I27&lt;&gt;0,IF(ABS((L27)/I27)&gt;1,"n/a ",(L27)/I27*SIGN(I27)),"n/a ")</f>
        <v>-0.7958622037037093</v>
      </c>
    </row>
    <row r="28" spans="1:14" s="7" customFormat="1" ht="12.75" x14ac:dyDescent="0.2">
      <c r="A28" s="79" t="s">
        <v>15</v>
      </c>
      <c r="B28" s="91"/>
      <c r="C28" s="91"/>
      <c r="D28" s="91"/>
      <c r="E28" s="47">
        <v>0</v>
      </c>
      <c r="F28" s="47">
        <v>0</v>
      </c>
      <c r="G28" s="47">
        <v>0</v>
      </c>
      <c r="H28" s="47"/>
      <c r="I28" s="47">
        <f>SUM(D28:E28)</f>
        <v>0</v>
      </c>
      <c r="J28" s="47">
        <f>SUM(F28:G28)</f>
        <v>0</v>
      </c>
      <c r="K28" s="42"/>
      <c r="L28" s="57">
        <f t="shared" si="2"/>
        <v>0</v>
      </c>
      <c r="M28" s="41" t="str">
        <f>+IF(I28&lt;&gt;0,IF(ABS((L28)/I28)&gt;1,"n/a ",(L28)/I28*SIGN(I28)),"n/a ")</f>
        <v xml:space="preserve">n/a </v>
      </c>
    </row>
    <row r="29" spans="1:14" s="7" customFormat="1" ht="12.75" x14ac:dyDescent="0.2">
      <c r="A29" s="79" t="s">
        <v>259</v>
      </c>
      <c r="B29" s="91"/>
      <c r="C29" s="91"/>
      <c r="D29" s="91"/>
      <c r="E29" s="47">
        <v>-64.040000000000006</v>
      </c>
      <c r="F29" s="47">
        <v>-76.099999999999994</v>
      </c>
      <c r="G29" s="47">
        <v>-74.504528019999995</v>
      </c>
      <c r="H29" s="47"/>
      <c r="I29" s="47">
        <f>SUM(D29:E29)</f>
        <v>-64.040000000000006</v>
      </c>
      <c r="J29" s="47">
        <f t="shared" ref="J29" si="8">SUM(F29:G29)</f>
        <v>-150.60452801999998</v>
      </c>
      <c r="K29" s="42"/>
      <c r="L29" s="57">
        <f>J29-I29</f>
        <v>-86.564528019999969</v>
      </c>
      <c r="M29" s="41" t="str">
        <f t="shared" si="3"/>
        <v xml:space="preserve">n/a </v>
      </c>
    </row>
    <row r="30" spans="1:14" s="7" customFormat="1" ht="13.5" thickBot="1" x14ac:dyDescent="0.25">
      <c r="A30" s="78" t="s">
        <v>276</v>
      </c>
      <c r="B30" s="92"/>
      <c r="C30" s="92"/>
      <c r="D30" s="92"/>
      <c r="E30" s="53">
        <f>SUM(E25:E29)</f>
        <v>37.37364491999999</v>
      </c>
      <c r="F30" s="53">
        <f>SUM(F25:F29)</f>
        <v>49.292302549999974</v>
      </c>
      <c r="G30" s="53">
        <f t="shared" ref="G30:J30" si="9">SUM(G25:G29)</f>
        <v>69.132863999999998</v>
      </c>
      <c r="H30" s="47"/>
      <c r="I30" s="53">
        <f>SUM(I25:I29)</f>
        <v>37.37364491999999</v>
      </c>
      <c r="J30" s="53">
        <f t="shared" si="9"/>
        <v>118.42516654999997</v>
      </c>
      <c r="K30" s="40"/>
      <c r="L30" s="58">
        <f t="shared" si="2"/>
        <v>81.051521629999982</v>
      </c>
      <c r="M30" s="44" t="str">
        <f t="shared" si="3"/>
        <v xml:space="preserve">n/a </v>
      </c>
    </row>
    <row r="31" spans="1:14" ht="15" thickTop="1" x14ac:dyDescent="0.2"/>
    <row r="32" spans="1:14" s="7" customFormat="1" ht="18" x14ac:dyDescent="0.25">
      <c r="A32" s="4" t="s">
        <v>222</v>
      </c>
      <c r="B32" s="5"/>
      <c r="C32" s="5"/>
      <c r="D32" s="5"/>
      <c r="E32" s="5"/>
      <c r="F32" s="5"/>
      <c r="G32" s="5"/>
      <c r="H32" s="5"/>
      <c r="I32" s="5"/>
      <c r="J32" s="5"/>
      <c r="K32" s="5"/>
      <c r="L32" s="5"/>
      <c r="M32" s="5"/>
      <c r="N32" s="5"/>
    </row>
    <row r="33" spans="1:16" s="7" customFormat="1" ht="12.75" x14ac:dyDescent="0.2">
      <c r="A33" s="8"/>
    </row>
    <row r="34" spans="1:16" s="7" customFormat="1" x14ac:dyDescent="0.2">
      <c r="A34" s="8"/>
      <c r="B34" s="25" t="s">
        <v>49</v>
      </c>
      <c r="C34" s="25" t="s">
        <v>50</v>
      </c>
      <c r="D34" s="25" t="s">
        <v>51</v>
      </c>
      <c r="E34" s="25" t="s">
        <v>225</v>
      </c>
      <c r="F34" s="9" t="s">
        <v>53</v>
      </c>
      <c r="G34" s="9" t="s">
        <v>308</v>
      </c>
      <c r="I34" s="11" t="s">
        <v>305</v>
      </c>
      <c r="J34" s="11" t="s">
        <v>306</v>
      </c>
      <c r="K34" s="6"/>
      <c r="L34" s="11" t="s">
        <v>307</v>
      </c>
      <c r="M34" s="12"/>
    </row>
    <row r="35" spans="1:16" s="7" customFormat="1" ht="12.75" x14ac:dyDescent="0.2">
      <c r="A35" s="8"/>
      <c r="B35" s="25" t="s">
        <v>223</v>
      </c>
      <c r="C35" s="25" t="s">
        <v>223</v>
      </c>
      <c r="D35" s="25" t="s">
        <v>223</v>
      </c>
      <c r="E35" s="25" t="s">
        <v>223</v>
      </c>
      <c r="F35" s="9" t="s">
        <v>224</v>
      </c>
      <c r="G35" s="9" t="s">
        <v>224</v>
      </c>
      <c r="I35" s="25" t="s">
        <v>223</v>
      </c>
      <c r="J35" s="9" t="s">
        <v>224</v>
      </c>
      <c r="K35" s="6"/>
      <c r="L35" s="11"/>
      <c r="M35" s="12"/>
      <c r="P35" s="97"/>
    </row>
    <row r="36" spans="1:16" s="7" customFormat="1" ht="13.5" thickBot="1" x14ac:dyDescent="0.25">
      <c r="A36" s="8"/>
      <c r="B36" s="26" t="s">
        <v>54</v>
      </c>
      <c r="C36" s="26" t="s">
        <v>54</v>
      </c>
      <c r="D36" s="26" t="s">
        <v>54</v>
      </c>
      <c r="E36" s="26" t="s">
        <v>54</v>
      </c>
      <c r="F36" s="10" t="s">
        <v>54</v>
      </c>
      <c r="G36" s="10" t="s">
        <v>54</v>
      </c>
      <c r="I36" s="10" t="s">
        <v>54</v>
      </c>
      <c r="J36" s="10" t="s">
        <v>54</v>
      </c>
      <c r="K36" s="6"/>
      <c r="L36" s="10" t="s">
        <v>54</v>
      </c>
      <c r="M36" s="10" t="s">
        <v>55</v>
      </c>
    </row>
    <row r="37" spans="1:16" s="7" customFormat="1" ht="12.75" x14ac:dyDescent="0.2">
      <c r="A37" s="6" t="s">
        <v>1</v>
      </c>
      <c r="B37" s="50">
        <v>153.6</v>
      </c>
      <c r="C37" s="50">
        <v>146.9</v>
      </c>
      <c r="D37" s="50">
        <v>144.5</v>
      </c>
      <c r="E37" s="50">
        <v>125.3</v>
      </c>
      <c r="F37" s="50">
        <f>F25</f>
        <v>125.34230254999997</v>
      </c>
      <c r="G37" s="50">
        <f>G25</f>
        <v>143.57715761</v>
      </c>
      <c r="H37" s="47"/>
      <c r="I37" s="47">
        <f>SUM(D37:E37)</f>
        <v>269.8</v>
      </c>
      <c r="J37" s="47">
        <f>SUM(F37:G37)</f>
        <v>268.91946015999997</v>
      </c>
      <c r="L37" s="57">
        <f>J37-I37</f>
        <v>-0.88053984000003993</v>
      </c>
      <c r="M37" s="41">
        <f t="shared" ref="M37" si="10">+IF(I37&lt;&gt;0,IF(ABS((L37)/I37)&gt;1,"n/a ",(L37)/I37*SIGN(I37)),"n/a ")</f>
        <v>-3.2636762045961448E-3</v>
      </c>
    </row>
    <row r="38" spans="1:16" s="7" customFormat="1" ht="12.75" x14ac:dyDescent="0.2">
      <c r="A38" s="8"/>
      <c r="B38" s="47"/>
      <c r="C38" s="47"/>
      <c r="D38" s="47"/>
      <c r="E38" s="47"/>
      <c r="F38" s="47"/>
      <c r="G38" s="47"/>
      <c r="H38" s="47"/>
      <c r="I38" s="47"/>
      <c r="J38" s="47"/>
      <c r="L38" s="57"/>
      <c r="M38" s="41"/>
    </row>
    <row r="39" spans="1:16" s="7" customFormat="1" ht="12.75" x14ac:dyDescent="0.2">
      <c r="A39" s="8" t="s">
        <v>8</v>
      </c>
      <c r="B39" s="47">
        <v>2.4</v>
      </c>
      <c r="C39" s="47">
        <v>2.6</v>
      </c>
      <c r="D39" s="47">
        <v>1.9</v>
      </c>
      <c r="E39" s="47">
        <v>2.1</v>
      </c>
      <c r="F39" s="47">
        <f t="shared" ref="F39:G41" si="11">F27</f>
        <v>0.05</v>
      </c>
      <c r="G39" s="47">
        <f t="shared" si="11"/>
        <v>6.0234409999997025E-2</v>
      </c>
      <c r="H39" s="47"/>
      <c r="I39" s="47">
        <f>SUM(D39:E39)</f>
        <v>4</v>
      </c>
      <c r="J39" s="47">
        <f>SUM(F39:G39)</f>
        <v>0.11023440999999704</v>
      </c>
      <c r="L39" s="57">
        <f>J39-I39</f>
        <v>-3.8897655900000028</v>
      </c>
      <c r="M39" s="41">
        <f>+IF(I39&lt;&gt;0,IF(ABS((L39)/I39)&gt;1,"n/a ",(L39)/I39*SIGN(I39)),"n/a ")</f>
        <v>-0.97244139750000069</v>
      </c>
    </row>
    <row r="40" spans="1:16" s="7" customFormat="1" ht="12.75" x14ac:dyDescent="0.2">
      <c r="A40" s="79" t="s">
        <v>15</v>
      </c>
      <c r="B40" s="47">
        <v>0</v>
      </c>
      <c r="C40" s="47">
        <v>0</v>
      </c>
      <c r="D40" s="47">
        <v>0</v>
      </c>
      <c r="E40" s="47">
        <v>0</v>
      </c>
      <c r="F40" s="47">
        <f t="shared" si="11"/>
        <v>0</v>
      </c>
      <c r="G40" s="47">
        <f t="shared" si="11"/>
        <v>0</v>
      </c>
      <c r="H40" s="47"/>
      <c r="I40" s="47">
        <f t="shared" ref="I40:I41" si="12">SUM(D40:E40)</f>
        <v>0</v>
      </c>
      <c r="J40" s="47">
        <f t="shared" ref="J40:J41" si="13">SUM(F40:G40)</f>
        <v>0</v>
      </c>
      <c r="L40" s="57">
        <f>J40-I40</f>
        <v>0</v>
      </c>
      <c r="M40" s="41" t="str">
        <f>+IF(I40&lt;&gt;0,IF(ABS((L40)/I40)&gt;1,"n/a ",(L40)/I40*SIGN(I40)),"n/a ")</f>
        <v xml:space="preserve">n/a </v>
      </c>
    </row>
    <row r="41" spans="1:16" s="7" customFormat="1" ht="12.75" x14ac:dyDescent="0.2">
      <c r="A41" s="8" t="s">
        <v>18</v>
      </c>
      <c r="B41" s="47">
        <v>-82.3</v>
      </c>
      <c r="C41" s="47">
        <v>-80.599999999999994</v>
      </c>
      <c r="D41" s="47">
        <v>-85.9</v>
      </c>
      <c r="E41" s="47">
        <v>-81.3</v>
      </c>
      <c r="F41" s="47">
        <f t="shared" si="11"/>
        <v>-76.099999999999994</v>
      </c>
      <c r="G41" s="47">
        <f t="shared" si="11"/>
        <v>-74.504528019999995</v>
      </c>
      <c r="H41" s="47"/>
      <c r="I41" s="47">
        <f t="shared" si="12"/>
        <v>-167.2</v>
      </c>
      <c r="J41" s="47">
        <f t="shared" si="13"/>
        <v>-150.60452801999998</v>
      </c>
      <c r="L41" s="57">
        <f t="shared" ref="L41" si="14">J41-I41</f>
        <v>16.595471980000013</v>
      </c>
      <c r="M41" s="41">
        <f>+IF(I41&lt;&gt;0,IF(ABS((L41)/I41)&gt;1,"n/a ",(L41)/I41*SIGN(I41)),"n/a ")</f>
        <v>9.925521519138765E-2</v>
      </c>
    </row>
    <row r="42" spans="1:16" s="7" customFormat="1" ht="13.5" thickBot="1" x14ac:dyDescent="0.25">
      <c r="A42" s="78" t="s">
        <v>276</v>
      </c>
      <c r="B42" s="51">
        <f>SUM(B37:B41)</f>
        <v>73.7</v>
      </c>
      <c r="C42" s="51">
        <f t="shared" ref="C42:F42" si="15">SUM(C37:C41)</f>
        <v>68.900000000000006</v>
      </c>
      <c r="D42" s="51">
        <f t="shared" si="15"/>
        <v>60.5</v>
      </c>
      <c r="E42" s="51">
        <f t="shared" si="15"/>
        <v>46.099999999999994</v>
      </c>
      <c r="F42" s="51">
        <f t="shared" si="15"/>
        <v>49.292302549999974</v>
      </c>
      <c r="G42" s="51">
        <f>SUM(G37:G41)</f>
        <v>69.132863999999998</v>
      </c>
      <c r="H42" s="47"/>
      <c r="I42" s="51">
        <f>SUM(I37:I41)</f>
        <v>106.60000000000002</v>
      </c>
      <c r="J42" s="51">
        <f>SUM(J37:J41)</f>
        <v>118.42516654999997</v>
      </c>
      <c r="L42" s="54">
        <f>J42-I42</f>
        <v>11.825166549999949</v>
      </c>
      <c r="M42" s="45">
        <f>+IF(I42&lt;&gt;0,IF(ABS((L42)/I42)&gt;1,"n/a ",(L42)/I42*SIGN(I42)),"n/a ")</f>
        <v>0.11093026782363927</v>
      </c>
    </row>
    <row r="43" spans="1:16" s="7" customFormat="1" ht="12.75" x14ac:dyDescent="0.2"/>
    <row r="44" spans="1:16" x14ac:dyDescent="0.2">
      <c r="A44" s="27" t="s">
        <v>226</v>
      </c>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1" manualBreakCount="1">
    <brk id="31" max="16383" man="1"/>
  </rowBreaks>
  <ignoredErrors>
    <ignoredError sqref="I20:I30 E9:F9 I37:I41"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C99635-AD43-4C4B-AB7F-9747088CC55D}">
  <sheetPr>
    <pageSetUpPr fitToPage="1"/>
  </sheetPr>
  <dimension ref="A1:N27"/>
  <sheetViews>
    <sheetView showGridLines="0" zoomScaleNormal="100" workbookViewId="0">
      <selection activeCell="O5" sqref="O5"/>
    </sheetView>
  </sheetViews>
  <sheetFormatPr defaultRowHeight="14.25" x14ac:dyDescent="0.2"/>
  <cols>
    <col min="1" max="1" width="52.42578125" style="3" customWidth="1"/>
    <col min="2" max="7" width="9.140625" style="3"/>
    <col min="8" max="8" width="2.140625" style="3" customWidth="1"/>
    <col min="9" max="10" width="9.140625" style="3"/>
    <col min="11" max="11" width="2.140625" style="3" customWidth="1"/>
    <col min="12" max="13" width="9.140625" style="3"/>
    <col min="14" max="14" width="12.710937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87</v>
      </c>
      <c r="B3" s="5"/>
      <c r="C3" s="5"/>
      <c r="D3" s="5"/>
      <c r="E3" s="5"/>
      <c r="F3" s="5"/>
      <c r="G3" s="5"/>
      <c r="H3" s="5"/>
      <c r="I3" s="5"/>
      <c r="J3" s="5"/>
      <c r="K3" s="5"/>
      <c r="L3" s="5"/>
      <c r="M3" s="5"/>
      <c r="N3" s="5"/>
    </row>
    <row r="4" spans="1:14" s="7" customFormat="1" ht="12.75" x14ac:dyDescent="0.2"/>
    <row r="5" spans="1:14" s="7" customFormat="1" ht="13.5" thickBot="1" x14ac:dyDescent="0.25">
      <c r="B5" s="10" t="s">
        <v>49</v>
      </c>
      <c r="C5" s="10" t="s">
        <v>50</v>
      </c>
      <c r="D5" s="10" t="s">
        <v>51</v>
      </c>
      <c r="E5" s="10" t="s">
        <v>52</v>
      </c>
      <c r="F5" s="10" t="s">
        <v>53</v>
      </c>
      <c r="G5" s="10" t="s">
        <v>308</v>
      </c>
      <c r="I5" s="13" t="s">
        <v>305</v>
      </c>
      <c r="J5" s="13" t="s">
        <v>306</v>
      </c>
      <c r="K5" s="6"/>
      <c r="L5" s="13" t="s">
        <v>307</v>
      </c>
      <c r="M5" s="14"/>
    </row>
    <row r="6" spans="1:14" s="7" customFormat="1" ht="12.75" x14ac:dyDescent="0.2">
      <c r="A6" s="7" t="s">
        <v>277</v>
      </c>
      <c r="B6" s="47">
        <f>B25</f>
        <v>-7.4599999999999964</v>
      </c>
      <c r="C6" s="47">
        <f t="shared" ref="C6:F6" si="0">C25</f>
        <v>-15.510000000000005</v>
      </c>
      <c r="D6" s="47">
        <f t="shared" si="0"/>
        <v>-15.52</v>
      </c>
      <c r="E6" s="47">
        <f t="shared" si="0"/>
        <v>-10.939999999999996</v>
      </c>
      <c r="F6" s="47">
        <f t="shared" si="0"/>
        <v>-13.350000000000001</v>
      </c>
      <c r="G6" s="47">
        <f t="shared" ref="G6" si="1">G25</f>
        <v>-12.543923329999984</v>
      </c>
      <c r="H6" s="47"/>
      <c r="I6" s="47">
        <f>SUM(D6:E6)</f>
        <v>-26.459999999999994</v>
      </c>
      <c r="J6" s="47">
        <f>SUM(F6:G6)</f>
        <v>-25.893923329999986</v>
      </c>
      <c r="L6" s="47">
        <f>J6-I6</f>
        <v>0.56607667000000816</v>
      </c>
      <c r="M6" s="29">
        <f>+IF(I6&lt;&gt;0,IF(ABS((L6)/I6)&gt;1,"n/a ",(L6)/I6*SIGN(I6)),"n/a ")</f>
        <v>2.1393676114890715E-2</v>
      </c>
    </row>
    <row r="7" spans="1:14" s="7" customFormat="1" ht="12.75" x14ac:dyDescent="0.2">
      <c r="A7" s="7" t="s">
        <v>81</v>
      </c>
      <c r="B7" s="47">
        <f>B20</f>
        <v>4.1300000000000043</v>
      </c>
      <c r="C7" s="47">
        <f t="shared" ref="C7:F7" si="2">C20</f>
        <v>8.3699999999999957</v>
      </c>
      <c r="D7" s="47">
        <f t="shared" si="2"/>
        <v>9.43</v>
      </c>
      <c r="E7" s="47">
        <f t="shared" si="2"/>
        <v>11.060000000000006</v>
      </c>
      <c r="F7" s="47">
        <f t="shared" si="2"/>
        <v>8.2200000000000006</v>
      </c>
      <c r="G7" s="47">
        <f t="shared" ref="G7" si="3">G20</f>
        <v>5.0052115100000156</v>
      </c>
      <c r="H7" s="47"/>
      <c r="I7" s="47">
        <f>SUM(D7:E7)</f>
        <v>20.490000000000006</v>
      </c>
      <c r="J7" s="47">
        <f>SUM(F7:G7)</f>
        <v>13.225211510000015</v>
      </c>
      <c r="L7" s="47">
        <f t="shared" ref="L7:L8" si="4">J7-I7</f>
        <v>-7.2647884899999902</v>
      </c>
      <c r="M7" s="29">
        <f t="shared" ref="M7:M8" si="5">+IF(I7&lt;&gt;0,IF(ABS((L7)/I7)&gt;1,"n/a ",(L7)/I7*SIGN(I7)),"n/a ")</f>
        <v>-0.35455287896534837</v>
      </c>
    </row>
    <row r="8" spans="1:14" s="7" customFormat="1" ht="12.75" x14ac:dyDescent="0.2">
      <c r="A8" s="7" t="s">
        <v>73</v>
      </c>
      <c r="B8" s="87">
        <f t="shared" ref="B8:F8" si="6">ABS(B24/(SUM(B20:B22)-B19))</f>
        <v>2.3156966490299808</v>
      </c>
      <c r="C8" s="87">
        <f t="shared" si="6"/>
        <v>2.1857798165137625</v>
      </c>
      <c r="D8" s="87">
        <f t="shared" si="6"/>
        <v>2.465533522190746</v>
      </c>
      <c r="E8" s="87">
        <f t="shared" si="6"/>
        <v>1.8562499999999993</v>
      </c>
      <c r="F8" s="87">
        <f t="shared" si="6"/>
        <v>2.5474537037037037</v>
      </c>
      <c r="G8" s="87">
        <f>ABS(G24/(SUM(G20:G22)-G19))</f>
        <v>2.9445612812628243</v>
      </c>
      <c r="I8" s="87">
        <f>ABS(I24/(SUM(I20:I22)-I19))</f>
        <v>2.1321077383497231</v>
      </c>
      <c r="J8" s="87">
        <f>ABS(J24/(SUM(J20:J22)-J19))</f>
        <v>2.7172051139092832</v>
      </c>
      <c r="L8" s="29">
        <f t="shared" si="4"/>
        <v>0.5850973755595601</v>
      </c>
      <c r="M8" s="29">
        <f t="shared" si="5"/>
        <v>0.27442204961576305</v>
      </c>
    </row>
    <row r="9" spans="1:14" s="7" customFormat="1" ht="12.75" x14ac:dyDescent="0.2"/>
    <row r="10" spans="1:14" ht="18" x14ac:dyDescent="0.25">
      <c r="A10" s="4" t="s">
        <v>266</v>
      </c>
      <c r="B10" s="5"/>
      <c r="C10" s="5"/>
      <c r="D10" s="5"/>
      <c r="E10" s="5"/>
      <c r="F10" s="5"/>
      <c r="G10" s="5"/>
      <c r="H10" s="5"/>
      <c r="I10" s="5"/>
      <c r="J10" s="5"/>
      <c r="K10" s="5"/>
      <c r="L10" s="5"/>
      <c r="M10" s="5"/>
      <c r="N10" s="5"/>
    </row>
    <row r="11" spans="1:14" s="7" customFormat="1" ht="12.75" x14ac:dyDescent="0.2"/>
    <row r="12" spans="1:14" s="7" customFormat="1" ht="12.75" x14ac:dyDescent="0.2">
      <c r="B12" s="9" t="s">
        <v>49</v>
      </c>
      <c r="C12" s="9" t="s">
        <v>50</v>
      </c>
      <c r="D12" s="9" t="s">
        <v>51</v>
      </c>
      <c r="E12" s="9" t="s">
        <v>52</v>
      </c>
      <c r="F12" s="9" t="s">
        <v>53</v>
      </c>
      <c r="G12" s="9" t="s">
        <v>308</v>
      </c>
      <c r="I12" s="11" t="s">
        <v>305</v>
      </c>
      <c r="J12" s="11" t="s">
        <v>306</v>
      </c>
      <c r="K12" s="6"/>
      <c r="L12" s="11" t="s">
        <v>307</v>
      </c>
      <c r="M12" s="12"/>
    </row>
    <row r="13" spans="1:14" s="7" customFormat="1" ht="13.5" thickBot="1" x14ac:dyDescent="0.25">
      <c r="A13" s="81"/>
      <c r="B13" s="10" t="s">
        <v>54</v>
      </c>
      <c r="C13" s="10" t="s">
        <v>54</v>
      </c>
      <c r="D13" s="10" t="s">
        <v>54</v>
      </c>
      <c r="E13" s="10" t="s">
        <v>54</v>
      </c>
      <c r="F13" s="10" t="s">
        <v>54</v>
      </c>
      <c r="G13" s="10" t="s">
        <v>54</v>
      </c>
      <c r="I13" s="10" t="s">
        <v>54</v>
      </c>
      <c r="J13" s="10" t="s">
        <v>54</v>
      </c>
      <c r="K13" s="6"/>
      <c r="L13" s="10" t="s">
        <v>54</v>
      </c>
      <c r="M13" s="10" t="s">
        <v>55</v>
      </c>
    </row>
    <row r="14" spans="1:14" s="7" customFormat="1" ht="12.75" x14ac:dyDescent="0.2">
      <c r="A14" s="78" t="s">
        <v>1</v>
      </c>
    </row>
    <row r="15" spans="1:14" s="7" customFormat="1" ht="12.75" x14ac:dyDescent="0.2">
      <c r="A15" s="79" t="s">
        <v>2</v>
      </c>
      <c r="B15" s="47">
        <v>47.7</v>
      </c>
      <c r="C15" s="47">
        <v>98.16</v>
      </c>
      <c r="D15" s="47">
        <v>99.42</v>
      </c>
      <c r="E15" s="47">
        <v>104.27</v>
      </c>
      <c r="F15" s="47">
        <v>98.89</v>
      </c>
      <c r="G15" s="47">
        <v>92.948363950000029</v>
      </c>
      <c r="H15" s="47"/>
      <c r="I15" s="47">
        <f>SUM(D15:E15)</f>
        <v>203.69</v>
      </c>
      <c r="J15" s="47">
        <f>SUM(F15:G15)</f>
        <v>191.83836395000003</v>
      </c>
      <c r="L15" s="47">
        <f t="shared" ref="L15:L25" si="7">J15-I15</f>
        <v>-11.851636049999968</v>
      </c>
      <c r="M15" s="29">
        <f t="shared" ref="M15:M25" si="8">+IF(I15&lt;&gt;0,IF(ABS((L15)/I15)&gt;1,"n/a ",(L15)/I15*SIGN(I15)),"n/a ")</f>
        <v>-5.8184673032549303E-2</v>
      </c>
    </row>
    <row r="16" spans="1:14" s="7" customFormat="1" ht="12.75" x14ac:dyDescent="0.2">
      <c r="A16" s="79" t="s">
        <v>3</v>
      </c>
      <c r="B16" s="47">
        <v>2.89</v>
      </c>
      <c r="C16" s="47">
        <v>4.1100000000000003</v>
      </c>
      <c r="D16" s="47">
        <v>7.02</v>
      </c>
      <c r="E16" s="47">
        <v>7.82</v>
      </c>
      <c r="F16" s="47">
        <v>5.63</v>
      </c>
      <c r="G16" s="47">
        <v>3.7176850100000003</v>
      </c>
      <c r="H16" s="47"/>
      <c r="I16" s="47">
        <f t="shared" ref="I16:I18" si="9">SUM(D16:E16)</f>
        <v>14.84</v>
      </c>
      <c r="J16" s="47">
        <f t="shared" ref="J16:J19" si="10">SUM(F16:G16)</f>
        <v>9.3476850099999993</v>
      </c>
      <c r="L16" s="47">
        <f t="shared" si="7"/>
        <v>-5.4923149900000006</v>
      </c>
      <c r="M16" s="35">
        <f>+IF(I16&lt;&gt;0,IF(ABS((L16)/I16)&gt;1,"n/a ",(L16)/I16*SIGN(I16)),"n/a ")</f>
        <v>-0.37010208827493268</v>
      </c>
    </row>
    <row r="17" spans="1:13" s="7" customFormat="1" ht="12.75" x14ac:dyDescent="0.2">
      <c r="A17" s="79" t="s">
        <v>4</v>
      </c>
      <c r="B17" s="47">
        <v>-46.29</v>
      </c>
      <c r="C17" s="47">
        <v>-93.78</v>
      </c>
      <c r="D17" s="47">
        <v>-96.05</v>
      </c>
      <c r="E17" s="47">
        <v>-101.19</v>
      </c>
      <c r="F17" s="47">
        <v>-96.24</v>
      </c>
      <c r="G17" s="47">
        <v>-91.323119490000011</v>
      </c>
      <c r="H17" s="47"/>
      <c r="I17" s="47">
        <f t="shared" si="9"/>
        <v>-197.24</v>
      </c>
      <c r="J17" s="47">
        <f>SUM(F17:G17)</f>
        <v>-187.56311949000002</v>
      </c>
      <c r="L17" s="47">
        <f>J17-I17</f>
        <v>9.6768805099999895</v>
      </c>
      <c r="M17" s="35">
        <f>+IF(I17&lt;&gt;0,IF(ABS((L17)/I17)&gt;1,"n/a ",(L17)/I17*SIGN(I17)),"n/a ")</f>
        <v>4.9061450567836083E-2</v>
      </c>
    </row>
    <row r="18" spans="1:13" s="7" customFormat="1" ht="12.75" x14ac:dyDescent="0.2">
      <c r="A18" s="79" t="s">
        <v>5</v>
      </c>
      <c r="B18" s="47">
        <v>-0.17</v>
      </c>
      <c r="C18" s="47">
        <v>-0.12</v>
      </c>
      <c r="D18" s="47">
        <v>-0.96</v>
      </c>
      <c r="E18" s="47">
        <v>0.16</v>
      </c>
      <c r="F18" s="47">
        <v>-0.06</v>
      </c>
      <c r="G18" s="47">
        <v>-0.33771796000000009</v>
      </c>
      <c r="H18" s="47"/>
      <c r="I18" s="47">
        <f t="shared" si="9"/>
        <v>-0.79999999999999993</v>
      </c>
      <c r="J18" s="47">
        <f t="shared" si="10"/>
        <v>-0.39771796000000009</v>
      </c>
      <c r="L18" s="47">
        <f>J18-I18</f>
        <v>0.40228203999999984</v>
      </c>
      <c r="M18" s="35">
        <f t="shared" si="8"/>
        <v>0.50285254999999984</v>
      </c>
    </row>
    <row r="19" spans="1:13" s="7" customFormat="1" ht="12.75" x14ac:dyDescent="0.2">
      <c r="A19" s="79" t="s">
        <v>6</v>
      </c>
      <c r="B19" s="48">
        <v>0</v>
      </c>
      <c r="C19" s="48">
        <v>0</v>
      </c>
      <c r="D19" s="48">
        <v>0</v>
      </c>
      <c r="E19" s="48">
        <v>0</v>
      </c>
      <c r="F19" s="48">
        <v>0</v>
      </c>
      <c r="G19" s="48">
        <v>0</v>
      </c>
      <c r="H19" s="47"/>
      <c r="I19" s="48">
        <f>SUM(D19:E19)</f>
        <v>0</v>
      </c>
      <c r="J19" s="48">
        <f t="shared" si="10"/>
        <v>0</v>
      </c>
      <c r="K19" s="42"/>
      <c r="L19" s="55">
        <f t="shared" si="7"/>
        <v>0</v>
      </c>
      <c r="M19" s="43" t="str">
        <f t="shared" si="8"/>
        <v xml:space="preserve">n/a </v>
      </c>
    </row>
    <row r="20" spans="1:13" s="7" customFormat="1" ht="12.75" x14ac:dyDescent="0.2">
      <c r="A20" s="78" t="s">
        <v>7</v>
      </c>
      <c r="B20" s="50">
        <f>SUM(B15:B19)</f>
        <v>4.1300000000000043</v>
      </c>
      <c r="C20" s="50">
        <f t="shared" ref="C20:J20" si="11">SUM(C15:C19)</f>
        <v>8.3699999999999957</v>
      </c>
      <c r="D20" s="50">
        <f t="shared" si="11"/>
        <v>9.43</v>
      </c>
      <c r="E20" s="50">
        <f t="shared" si="11"/>
        <v>11.060000000000006</v>
      </c>
      <c r="F20" s="50">
        <f t="shared" si="11"/>
        <v>8.2200000000000006</v>
      </c>
      <c r="G20" s="50">
        <f t="shared" si="11"/>
        <v>5.0052115100000156</v>
      </c>
      <c r="H20" s="47"/>
      <c r="I20" s="50">
        <f>SUM(I15:I19)</f>
        <v>20.489999999999991</v>
      </c>
      <c r="J20" s="50">
        <f t="shared" si="11"/>
        <v>13.225211510000003</v>
      </c>
      <c r="K20" s="40"/>
      <c r="L20" s="56">
        <f t="shared" si="7"/>
        <v>-7.2647884899999884</v>
      </c>
      <c r="M20" s="39">
        <f t="shared" si="8"/>
        <v>-0.35455287896534854</v>
      </c>
    </row>
    <row r="21" spans="1:13" s="7" customFormat="1" ht="12.75" x14ac:dyDescent="0.2">
      <c r="A21" s="78"/>
      <c r="B21" s="50"/>
      <c r="C21" s="50"/>
      <c r="D21" s="50"/>
      <c r="E21" s="50"/>
      <c r="F21" s="50"/>
      <c r="G21" s="50"/>
      <c r="H21" s="47"/>
      <c r="I21" s="50"/>
      <c r="J21" s="50"/>
      <c r="K21" s="40"/>
      <c r="L21" s="56"/>
      <c r="M21" s="39"/>
    </row>
    <row r="22" spans="1:13" s="7" customFormat="1" ht="12.75" x14ac:dyDescent="0.2">
      <c r="A22" s="79" t="s">
        <v>8</v>
      </c>
      <c r="B22" s="47">
        <v>1.54</v>
      </c>
      <c r="C22" s="47">
        <v>4.71</v>
      </c>
      <c r="D22" s="47">
        <v>1.1599999999999999</v>
      </c>
      <c r="E22" s="47">
        <v>1.74</v>
      </c>
      <c r="F22" s="47">
        <v>0.42</v>
      </c>
      <c r="G22" s="47">
        <v>1.4456897399999999</v>
      </c>
      <c r="H22" s="47"/>
      <c r="I22" s="47">
        <f t="shared" ref="I22" si="12">SUM(D22:E22)</f>
        <v>2.9</v>
      </c>
      <c r="J22" s="47">
        <f>SUM(F22:G22)</f>
        <v>1.8656897399999999</v>
      </c>
      <c r="K22" s="42"/>
      <c r="L22" s="57">
        <f>J22-I22</f>
        <v>-1.03431026</v>
      </c>
      <c r="M22" s="41">
        <f>+IF(I22&lt;&gt;0,IF(ABS((L22)/I22)&gt;1,"n/a ",(L22)/I22*SIGN(I22)),"n/a ")</f>
        <v>-0.3566587103448276</v>
      </c>
    </row>
    <row r="23" spans="1:13" s="7" customFormat="1" ht="12.75" x14ac:dyDescent="0.2">
      <c r="A23" s="79" t="s">
        <v>15</v>
      </c>
      <c r="B23" s="47">
        <v>0</v>
      </c>
      <c r="C23" s="47">
        <v>0</v>
      </c>
      <c r="D23" s="47">
        <v>0</v>
      </c>
      <c r="E23" s="47">
        <v>0.02</v>
      </c>
      <c r="F23" s="47">
        <v>0.02</v>
      </c>
      <c r="G23" s="47">
        <v>2.4946999999999936E-4</v>
      </c>
      <c r="H23" s="47"/>
      <c r="I23" s="47">
        <f>SUM(D23:E23)</f>
        <v>0.02</v>
      </c>
      <c r="J23" s="47">
        <f>SUM(F23:G23)</f>
        <v>2.0249469999999999E-2</v>
      </c>
      <c r="K23" s="42"/>
      <c r="L23" s="57">
        <f t="shared" si="7"/>
        <v>2.4946999999999817E-4</v>
      </c>
      <c r="M23" s="41">
        <f>+IF(I23&lt;&gt;0,IF(ABS((L23)/I23)&gt;1,"n/a ",(L23)/I23*SIGN(I23)),"n/a ")</f>
        <v>1.2473499999999908E-2</v>
      </c>
    </row>
    <row r="24" spans="1:13" s="7" customFormat="1" ht="12.75" x14ac:dyDescent="0.2">
      <c r="A24" s="79" t="s">
        <v>259</v>
      </c>
      <c r="B24" s="47">
        <v>-13.13</v>
      </c>
      <c r="C24" s="47">
        <v>-28.59</v>
      </c>
      <c r="D24" s="47">
        <v>-26.11</v>
      </c>
      <c r="E24" s="47">
        <v>-23.76</v>
      </c>
      <c r="F24" s="47">
        <v>-22.01</v>
      </c>
      <c r="G24" s="47">
        <v>-18.995074049999999</v>
      </c>
      <c r="H24" s="47"/>
      <c r="I24" s="47">
        <f>SUM(D24:E24)</f>
        <v>-49.870000000000005</v>
      </c>
      <c r="J24" s="47">
        <f t="shared" ref="J24" si="13">SUM(F24:G24)</f>
        <v>-41.005074050000005</v>
      </c>
      <c r="K24" s="42"/>
      <c r="L24" s="57">
        <f>J24-I24</f>
        <v>8.8649259499999999</v>
      </c>
      <c r="M24" s="41">
        <f t="shared" si="8"/>
        <v>0.17776069681171042</v>
      </c>
    </row>
    <row r="25" spans="1:13" s="7" customFormat="1" ht="13.5" thickBot="1" x14ac:dyDescent="0.25">
      <c r="A25" s="78" t="s">
        <v>276</v>
      </c>
      <c r="B25" s="53">
        <f>SUM(B20:B24)</f>
        <v>-7.4599999999999964</v>
      </c>
      <c r="C25" s="53">
        <f t="shared" ref="C25:J25" si="14">SUM(C20:C24)</f>
        <v>-15.510000000000005</v>
      </c>
      <c r="D25" s="53">
        <f t="shared" si="14"/>
        <v>-15.52</v>
      </c>
      <c r="E25" s="53">
        <f t="shared" si="14"/>
        <v>-10.939999999999996</v>
      </c>
      <c r="F25" s="53">
        <f t="shared" si="14"/>
        <v>-13.350000000000001</v>
      </c>
      <c r="G25" s="53">
        <f t="shared" si="14"/>
        <v>-12.543923329999984</v>
      </c>
      <c r="H25" s="47"/>
      <c r="I25" s="53">
        <f>SUM(I20:I24)</f>
        <v>-26.460000000000015</v>
      </c>
      <c r="J25" s="53">
        <f t="shared" si="14"/>
        <v>-25.89392333</v>
      </c>
      <c r="K25" s="40"/>
      <c r="L25" s="58">
        <f t="shared" si="7"/>
        <v>0.56607667000001527</v>
      </c>
      <c r="M25" s="44">
        <f t="shared" si="8"/>
        <v>2.1393676114890965E-2</v>
      </c>
    </row>
    <row r="26" spans="1:13" ht="15" thickTop="1" x14ac:dyDescent="0.2">
      <c r="A26" s="80"/>
      <c r="J26" s="46"/>
    </row>
    <row r="27" spans="1:13" x14ac:dyDescent="0.2">
      <c r="A27" s="8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ignoredErrors>
    <ignoredError sqref="I15:I2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7686BD-655E-4DAA-A9AE-B99E058793CD}">
  <sheetPr>
    <pageSetUpPr fitToPage="1"/>
  </sheetPr>
  <dimension ref="A1:G50"/>
  <sheetViews>
    <sheetView showGridLines="0" zoomScaleNormal="100" workbookViewId="0">
      <selection activeCell="O5" sqref="O5"/>
    </sheetView>
  </sheetViews>
  <sheetFormatPr defaultRowHeight="14.25" x14ac:dyDescent="0.2"/>
  <cols>
    <col min="1" max="1" width="48.42578125" style="3" customWidth="1"/>
    <col min="2" max="3" width="18.5703125" style="3" customWidth="1"/>
    <col min="4" max="4" width="2.140625" style="3" customWidth="1"/>
    <col min="5" max="5" width="9.140625" style="3" customWidth="1"/>
    <col min="6" max="6" width="9.140625" style="3"/>
    <col min="7" max="7" width="54.140625" style="3" customWidth="1"/>
    <col min="8" max="16384" width="9.140625" style="3"/>
  </cols>
  <sheetData>
    <row r="1" spans="1:7" ht="27.75" x14ac:dyDescent="0.4">
      <c r="A1" s="1" t="s">
        <v>0</v>
      </c>
      <c r="B1" s="2"/>
      <c r="C1" s="2"/>
      <c r="D1" s="2"/>
      <c r="E1" s="2"/>
      <c r="F1" s="2"/>
      <c r="G1" s="2"/>
    </row>
    <row r="3" spans="1:7" ht="18" x14ac:dyDescent="0.25">
      <c r="A3" s="4" t="s">
        <v>334</v>
      </c>
      <c r="B3" s="5"/>
      <c r="C3" s="5"/>
      <c r="D3" s="5"/>
      <c r="E3" s="5"/>
      <c r="F3" s="5"/>
      <c r="G3" s="5"/>
    </row>
    <row r="4" spans="1:7" s="7" customFormat="1" ht="12.75" x14ac:dyDescent="0.2">
      <c r="A4" s="27" t="s">
        <v>330</v>
      </c>
      <c r="B4" s="9" t="s">
        <v>335</v>
      </c>
      <c r="C4" s="137" t="s">
        <v>336</v>
      </c>
    </row>
    <row r="5" spans="1:7" s="7" customFormat="1" ht="12.75" x14ac:dyDescent="0.2">
      <c r="B5" s="9" t="s">
        <v>308</v>
      </c>
      <c r="C5" s="137" t="s">
        <v>308</v>
      </c>
      <c r="D5" s="16"/>
      <c r="E5" s="19"/>
      <c r="F5" s="16"/>
      <c r="G5" s="17"/>
    </row>
    <row r="6" spans="1:7" s="7" customFormat="1" ht="13.5" thickBot="1" x14ac:dyDescent="0.25">
      <c r="B6" s="10" t="s">
        <v>54</v>
      </c>
      <c r="C6" s="138" t="s">
        <v>54</v>
      </c>
      <c r="D6" s="15"/>
      <c r="E6" s="19"/>
      <c r="F6" s="15"/>
      <c r="G6" s="15"/>
    </row>
    <row r="7" spans="1:7" s="7" customFormat="1" ht="12.75" x14ac:dyDescent="0.2">
      <c r="A7" s="78" t="s">
        <v>1</v>
      </c>
      <c r="C7" s="139"/>
      <c r="D7" s="20"/>
      <c r="E7" s="20"/>
      <c r="F7" s="20"/>
      <c r="G7" s="20"/>
    </row>
    <row r="8" spans="1:7" s="7" customFormat="1" ht="12.75" x14ac:dyDescent="0.2">
      <c r="A8" s="79" t="s">
        <v>2</v>
      </c>
      <c r="B8" s="47">
        <v>77.725143570000029</v>
      </c>
      <c r="C8" s="140">
        <f>B8+Advice!G49</f>
        <v>95.419712950000019</v>
      </c>
      <c r="D8" s="91"/>
      <c r="E8" s="20"/>
      <c r="F8" s="91"/>
      <c r="G8" s="129"/>
    </row>
    <row r="9" spans="1:7" s="7" customFormat="1" ht="12.75" x14ac:dyDescent="0.2">
      <c r="A9" s="79" t="s">
        <v>3</v>
      </c>
      <c r="B9" s="47">
        <v>1.2201796699999992</v>
      </c>
      <c r="C9" s="140">
        <f>B9+Advice!G50</f>
        <v>1.4301165699999991</v>
      </c>
      <c r="D9" s="91"/>
      <c r="E9" s="20"/>
      <c r="F9" s="91"/>
      <c r="G9" s="130"/>
    </row>
    <row r="10" spans="1:7" s="7" customFormat="1" ht="12.75" x14ac:dyDescent="0.2">
      <c r="A10" s="79" t="s">
        <v>4</v>
      </c>
      <c r="B10" s="47">
        <v>-13.220376729999991</v>
      </c>
      <c r="C10" s="140">
        <f>B10+Advice!G51</f>
        <v>-25.875274259999991</v>
      </c>
      <c r="D10" s="91"/>
      <c r="E10" s="20"/>
      <c r="F10" s="91"/>
      <c r="G10" s="130"/>
    </row>
    <row r="11" spans="1:7" s="7" customFormat="1" ht="12.75" x14ac:dyDescent="0.2">
      <c r="A11" s="79" t="s">
        <v>5</v>
      </c>
      <c r="B11" s="47">
        <v>-3.4072398199999996</v>
      </c>
      <c r="C11" s="140">
        <f>B11+Advice!G52</f>
        <v>-3.4072398199999996</v>
      </c>
      <c r="D11" s="91"/>
      <c r="E11" s="20"/>
      <c r="F11" s="91"/>
      <c r="G11" s="130"/>
    </row>
    <row r="12" spans="1:7" s="7" customFormat="1" ht="12.75" x14ac:dyDescent="0.2">
      <c r="A12" s="79" t="s">
        <v>6</v>
      </c>
      <c r="B12" s="48">
        <v>0</v>
      </c>
      <c r="C12" s="141">
        <f>B12+Advice!G53</f>
        <v>0</v>
      </c>
      <c r="D12" s="91"/>
      <c r="E12" s="131"/>
      <c r="F12" s="132"/>
      <c r="G12" s="133"/>
    </row>
    <row r="13" spans="1:7" s="7" customFormat="1" ht="12.75" x14ac:dyDescent="0.2">
      <c r="A13" s="78" t="s">
        <v>7</v>
      </c>
      <c r="B13" s="50">
        <f t="shared" ref="B13" si="0">SUM(B8:B12)</f>
        <v>62.317706690000023</v>
      </c>
      <c r="C13" s="142">
        <f t="shared" ref="C13" si="1">SUM(C8:C12)</f>
        <v>67.567315440000016</v>
      </c>
      <c r="D13" s="92"/>
      <c r="E13" s="134"/>
      <c r="F13" s="67"/>
      <c r="G13" s="135"/>
    </row>
    <row r="14" spans="1:7" s="7" customFormat="1" ht="12.75" x14ac:dyDescent="0.2">
      <c r="A14" s="78"/>
      <c r="B14" s="50"/>
      <c r="C14" s="142"/>
      <c r="D14" s="92"/>
      <c r="E14" s="134"/>
      <c r="F14" s="67"/>
      <c r="G14" s="135"/>
    </row>
    <row r="15" spans="1:7" s="7" customFormat="1" ht="12.75" x14ac:dyDescent="0.2">
      <c r="A15" s="79" t="s">
        <v>8</v>
      </c>
      <c r="B15" s="47">
        <v>1.1482372299999983</v>
      </c>
      <c r="C15" s="140">
        <f>B15+Advice!G56</f>
        <v>1.1482372299999983</v>
      </c>
      <c r="D15" s="91"/>
      <c r="E15" s="131"/>
      <c r="F15" s="132"/>
      <c r="G15" s="133"/>
    </row>
    <row r="16" spans="1:7" s="7" customFormat="1" ht="12.75" x14ac:dyDescent="0.2">
      <c r="A16" s="79" t="s">
        <v>15</v>
      </c>
      <c r="B16" s="47">
        <v>0.41961419</v>
      </c>
      <c r="C16" s="140">
        <f>B16+Advice!G57</f>
        <v>0.41961419</v>
      </c>
      <c r="D16" s="91"/>
      <c r="E16" s="131"/>
      <c r="F16" s="132"/>
      <c r="G16" s="133"/>
    </row>
    <row r="17" spans="1:7" s="7" customFormat="1" ht="12.75" x14ac:dyDescent="0.2">
      <c r="A17" s="79" t="s">
        <v>18</v>
      </c>
      <c r="B17" s="47">
        <v>-34.505901579999957</v>
      </c>
      <c r="C17" s="140">
        <f>B17+Advice!G58</f>
        <v>-47.204603579999954</v>
      </c>
      <c r="D17" s="91"/>
      <c r="E17" s="131"/>
      <c r="F17" s="132"/>
      <c r="G17" s="133"/>
    </row>
    <row r="18" spans="1:7" s="7" customFormat="1" ht="13.5" thickBot="1" x14ac:dyDescent="0.25">
      <c r="A18" s="78" t="s">
        <v>276</v>
      </c>
      <c r="B18" s="53">
        <f t="shared" ref="B18" si="2">SUM(B13:B17)</f>
        <v>29.379656530000062</v>
      </c>
      <c r="C18" s="143">
        <f t="shared" ref="C18" si="3">SUM(C13:C17)</f>
        <v>21.930563280000058</v>
      </c>
      <c r="D18" s="92"/>
      <c r="E18" s="134"/>
      <c r="F18" s="67"/>
      <c r="G18" s="135"/>
    </row>
    <row r="19" spans="1:7" ht="15" thickTop="1" x14ac:dyDescent="0.2">
      <c r="C19" s="128"/>
      <c r="D19" s="128"/>
      <c r="E19" s="128"/>
      <c r="F19" s="128"/>
      <c r="G19" s="128"/>
    </row>
    <row r="20" spans="1:7" s="7" customFormat="1" ht="18" x14ac:dyDescent="0.25">
      <c r="A20" s="4" t="s">
        <v>337</v>
      </c>
      <c r="B20" s="5"/>
      <c r="C20" s="93"/>
      <c r="D20" s="93"/>
      <c r="E20" s="93"/>
      <c r="F20" s="93"/>
      <c r="G20" s="93"/>
    </row>
    <row r="21" spans="1:7" s="7" customFormat="1" ht="12.75" x14ac:dyDescent="0.2">
      <c r="A21" s="8"/>
      <c r="C21" s="20"/>
      <c r="D21" s="20"/>
      <c r="E21" s="20"/>
      <c r="F21" s="20"/>
      <c r="G21" s="20"/>
    </row>
    <row r="22" spans="1:7" s="7" customFormat="1" ht="15.75" customHeight="1" thickBot="1" x14ac:dyDescent="0.25">
      <c r="A22" s="24"/>
      <c r="B22" s="10" t="s">
        <v>305</v>
      </c>
      <c r="C22" s="10" t="s">
        <v>306</v>
      </c>
      <c r="D22" s="16"/>
      <c r="E22" s="166" t="s">
        <v>307</v>
      </c>
      <c r="F22" s="166"/>
      <c r="G22" s="17"/>
    </row>
    <row r="23" spans="1:7" s="7" customFormat="1" ht="12.75" x14ac:dyDescent="0.2">
      <c r="A23" s="78" t="s">
        <v>338</v>
      </c>
      <c r="D23" s="15"/>
      <c r="E23" s="47"/>
      <c r="F23" s="29"/>
      <c r="G23" s="15"/>
    </row>
    <row r="24" spans="1:7" s="7" customFormat="1" ht="12.75" x14ac:dyDescent="0.2">
      <c r="A24" s="79" t="s">
        <v>339</v>
      </c>
      <c r="B24" s="91">
        <v>75.900000000000006</v>
      </c>
      <c r="C24" s="91">
        <v>67.5</v>
      </c>
      <c r="D24" s="91"/>
      <c r="E24" s="47">
        <f>C24-B24</f>
        <v>-8.4000000000000057</v>
      </c>
      <c r="F24" s="29">
        <f>+IF(B24&lt;&gt;0,IF(ABS((E24)/B24)&gt;1,"n/a ",(E24)/B24*SIGN(B24)),"n/a ")</f>
        <v>-0.11067193675889335</v>
      </c>
      <c r="G24" s="133"/>
    </row>
    <row r="25" spans="1:7" s="7" customFormat="1" ht="12.75" x14ac:dyDescent="0.2">
      <c r="A25" s="79" t="s">
        <v>344</v>
      </c>
      <c r="B25" s="91">
        <v>-196.9</v>
      </c>
      <c r="C25" s="91">
        <v>-170.2</v>
      </c>
      <c r="D25" s="91"/>
      <c r="E25" s="47">
        <f t="shared" ref="E25:E30" si="4">C25-B25</f>
        <v>26.700000000000017</v>
      </c>
      <c r="F25" s="29">
        <f t="shared" ref="F25:F30" si="5">+IF(B25&lt;&gt;0,IF(ABS((E25)/B25)&gt;1,"n/a ",(E25)/B25*SIGN(B25)),"n/a ")</f>
        <v>0.1356018283392586</v>
      </c>
      <c r="G25" s="133"/>
    </row>
    <row r="26" spans="1:7" s="7" customFormat="1" ht="12.75" x14ac:dyDescent="0.2">
      <c r="A26" s="79" t="s">
        <v>340</v>
      </c>
      <c r="B26" s="91">
        <v>-120.7</v>
      </c>
      <c r="C26" s="91">
        <v>-102.7</v>
      </c>
      <c r="D26" s="91"/>
      <c r="E26" s="47">
        <f t="shared" si="4"/>
        <v>18</v>
      </c>
      <c r="F26" s="29">
        <f t="shared" si="5"/>
        <v>0.14913007456503727</v>
      </c>
      <c r="G26" s="133"/>
    </row>
    <row r="27" spans="1:7" s="7" customFormat="1" ht="12.75" x14ac:dyDescent="0.2">
      <c r="A27" s="79" t="s">
        <v>62</v>
      </c>
      <c r="B27" s="91">
        <v>-86</v>
      </c>
      <c r="C27" s="91">
        <v>-71.900000000000006</v>
      </c>
      <c r="D27" s="91"/>
      <c r="E27" s="47">
        <f t="shared" si="4"/>
        <v>14.099999999999994</v>
      </c>
      <c r="F27" s="29">
        <f t="shared" si="5"/>
        <v>0.16395348837209295</v>
      </c>
      <c r="G27" s="133"/>
    </row>
    <row r="28" spans="1:7" s="7" customFormat="1" ht="12.75" x14ac:dyDescent="0.2">
      <c r="A28" s="79" t="s">
        <v>341</v>
      </c>
      <c r="B28" s="145">
        <v>0.37</v>
      </c>
      <c r="C28" s="145">
        <v>0.42</v>
      </c>
      <c r="D28" s="91"/>
      <c r="E28" s="147">
        <f t="shared" si="4"/>
        <v>4.9999999999999989E-2</v>
      </c>
      <c r="F28" s="29">
        <f t="shared" si="5"/>
        <v>0.13513513513513511</v>
      </c>
      <c r="G28" s="133"/>
    </row>
    <row r="29" spans="1:7" s="7" customFormat="1" ht="12.75" x14ac:dyDescent="0.2">
      <c r="A29" s="79" t="s">
        <v>342</v>
      </c>
      <c r="B29" s="144">
        <v>2697</v>
      </c>
      <c r="C29" s="144">
        <v>3215</v>
      </c>
      <c r="D29" s="92"/>
      <c r="E29" s="59">
        <f t="shared" si="4"/>
        <v>518</v>
      </c>
      <c r="F29" s="29">
        <f t="shared" si="5"/>
        <v>0.19206525769373378</v>
      </c>
      <c r="G29" s="133"/>
    </row>
    <row r="30" spans="1:7" s="7" customFormat="1" ht="12.75" x14ac:dyDescent="0.2">
      <c r="A30" s="79" t="s">
        <v>343</v>
      </c>
      <c r="B30" s="144">
        <v>6353</v>
      </c>
      <c r="C30" s="144">
        <v>6397</v>
      </c>
      <c r="D30" s="20"/>
      <c r="E30" s="59">
        <f t="shared" si="4"/>
        <v>44</v>
      </c>
      <c r="F30" s="29">
        <f t="shared" si="5"/>
        <v>6.9258617975759482E-3</v>
      </c>
      <c r="G30" s="20"/>
    </row>
    <row r="31" spans="1:7" x14ac:dyDescent="0.2">
      <c r="A31" s="78" t="s">
        <v>327</v>
      </c>
      <c r="B31" s="91"/>
      <c r="C31" s="91"/>
      <c r="D31" s="128"/>
      <c r="E31" s="128"/>
      <c r="F31" s="128"/>
      <c r="G31" s="128"/>
    </row>
    <row r="32" spans="1:7" x14ac:dyDescent="0.2">
      <c r="A32" s="79" t="s">
        <v>339</v>
      </c>
      <c r="B32" s="91">
        <v>536.6</v>
      </c>
      <c r="C32" s="91">
        <v>480.3</v>
      </c>
      <c r="D32" s="128"/>
      <c r="E32" s="47">
        <f t="shared" ref="E32:E35" si="6">C32-B32</f>
        <v>-56.300000000000011</v>
      </c>
      <c r="F32" s="29">
        <f>+IF(B32&lt;&gt;0,IF(ABS((E32)/B32)&gt;1,"n/a ",(E32)/B32*SIGN(B32)),"n/a ")</f>
        <v>-0.10491986582184123</v>
      </c>
      <c r="G32" s="128"/>
    </row>
    <row r="33" spans="1:7" x14ac:dyDescent="0.2">
      <c r="A33" s="79" t="s">
        <v>344</v>
      </c>
      <c r="B33" s="91">
        <v>-348.2</v>
      </c>
      <c r="C33" s="91">
        <v>-334.2</v>
      </c>
      <c r="D33" s="128"/>
      <c r="E33" s="47">
        <f t="shared" si="6"/>
        <v>14</v>
      </c>
      <c r="F33" s="29">
        <f t="shared" ref="F33:F35" si="7">+IF(B33&lt;&gt;0,IF(ABS((E33)/B33)&gt;1,"n/a ",(E33)/B33*SIGN(B33)),"n/a ")</f>
        <v>4.0206777713957496E-2</v>
      </c>
      <c r="G33" s="128"/>
    </row>
    <row r="34" spans="1:7" x14ac:dyDescent="0.2">
      <c r="A34" s="79" t="s">
        <v>340</v>
      </c>
      <c r="B34" s="91">
        <v>188.4</v>
      </c>
      <c r="C34" s="91">
        <v>147.4</v>
      </c>
      <c r="D34" s="128"/>
      <c r="E34" s="47">
        <f t="shared" si="6"/>
        <v>-41</v>
      </c>
      <c r="F34" s="29">
        <f t="shared" si="7"/>
        <v>-0.21762208067940553</v>
      </c>
      <c r="G34" s="128"/>
    </row>
    <row r="35" spans="1:7" x14ac:dyDescent="0.2">
      <c r="A35" s="79" t="s">
        <v>62</v>
      </c>
      <c r="B35" s="91">
        <v>121</v>
      </c>
      <c r="C35" s="91">
        <v>103.1</v>
      </c>
      <c r="D35" s="128"/>
      <c r="E35" s="47">
        <f t="shared" si="6"/>
        <v>-17.900000000000006</v>
      </c>
      <c r="F35" s="29">
        <f t="shared" si="7"/>
        <v>-0.14793388429752072</v>
      </c>
      <c r="G35" s="128"/>
    </row>
    <row r="36" spans="1:7" x14ac:dyDescent="0.2">
      <c r="A36" s="79" t="s">
        <v>347</v>
      </c>
      <c r="B36" s="91">
        <v>115.2</v>
      </c>
      <c r="C36" s="91">
        <v>117.1</v>
      </c>
      <c r="D36" s="128"/>
      <c r="E36" s="47">
        <f t="shared" ref="E36:E40" si="8">C36-B36</f>
        <v>1.8999999999999915</v>
      </c>
      <c r="F36" s="29">
        <f t="shared" ref="F36:F40" si="9">+IF(B36&lt;&gt;0,IF(ABS((E36)/B36)&gt;1,"n/a ",(E36)/B36*SIGN(B36)),"n/a ")</f>
        <v>1.649305555555548E-2</v>
      </c>
      <c r="G36" s="128"/>
    </row>
    <row r="37" spans="1:7" x14ac:dyDescent="0.2">
      <c r="A37" s="79" t="s">
        <v>345</v>
      </c>
      <c r="B37" s="146">
        <v>4.7000000000000002E-3</v>
      </c>
      <c r="C37" s="146">
        <v>4.1000000000000003E-3</v>
      </c>
      <c r="D37" s="128"/>
      <c r="E37" s="90">
        <f t="shared" si="8"/>
        <v>-5.9999999999999984E-4</v>
      </c>
      <c r="F37" s="29">
        <f t="shared" si="9"/>
        <v>-0.12765957446808507</v>
      </c>
    </row>
    <row r="38" spans="1:7" x14ac:dyDescent="0.2">
      <c r="A38" s="79" t="s">
        <v>346</v>
      </c>
      <c r="B38" s="146">
        <v>1.6000000000000001E-3</v>
      </c>
      <c r="C38" s="146">
        <v>1.2999999999999999E-3</v>
      </c>
      <c r="D38" s="128"/>
      <c r="E38" s="90">
        <f t="shared" si="8"/>
        <v>-3.0000000000000014E-4</v>
      </c>
      <c r="F38" s="29">
        <f t="shared" si="9"/>
        <v>-0.18750000000000008</v>
      </c>
    </row>
    <row r="39" spans="1:7" x14ac:dyDescent="0.2">
      <c r="A39" s="79" t="s">
        <v>348</v>
      </c>
      <c r="B39" s="91">
        <v>111.8</v>
      </c>
      <c r="C39" s="91">
        <v>126</v>
      </c>
      <c r="D39" s="128"/>
      <c r="E39" s="47">
        <f t="shared" si="8"/>
        <v>14.200000000000003</v>
      </c>
      <c r="F39" s="29">
        <f t="shared" si="9"/>
        <v>0.1270125223613596</v>
      </c>
    </row>
    <row r="40" spans="1:7" x14ac:dyDescent="0.2">
      <c r="A40" s="79" t="s">
        <v>349</v>
      </c>
      <c r="B40" s="144">
        <v>-3419</v>
      </c>
      <c r="C40" s="144">
        <v>-3467</v>
      </c>
      <c r="D40" s="128"/>
      <c r="E40" s="59">
        <f t="shared" si="8"/>
        <v>-48</v>
      </c>
      <c r="F40" s="29">
        <f t="shared" si="9"/>
        <v>-1.4039192746417082E-2</v>
      </c>
    </row>
    <row r="41" spans="1:7" x14ac:dyDescent="0.2">
      <c r="A41" s="78" t="s">
        <v>328</v>
      </c>
      <c r="B41" s="128"/>
      <c r="C41" s="128"/>
      <c r="D41" s="128"/>
    </row>
    <row r="42" spans="1:7" x14ac:dyDescent="0.2">
      <c r="A42" s="79" t="s">
        <v>339</v>
      </c>
      <c r="B42" s="91">
        <v>211.8</v>
      </c>
      <c r="C42" s="91">
        <v>218.5</v>
      </c>
      <c r="D42" s="128"/>
      <c r="E42" s="47">
        <f t="shared" ref="E42:E50" si="10">C42-B42</f>
        <v>6.6999999999999886</v>
      </c>
      <c r="F42" s="29">
        <f>+IF(B42&lt;&gt;0,IF(ABS((E42)/B42)&gt;1,"n/a ",(E42)/B42*SIGN(B42)),"n/a ")</f>
        <v>3.1633616619452257E-2</v>
      </c>
    </row>
    <row r="43" spans="1:7" x14ac:dyDescent="0.2">
      <c r="A43" s="79" t="s">
        <v>344</v>
      </c>
      <c r="B43" s="91">
        <v>-149.9</v>
      </c>
      <c r="C43" s="91">
        <v>-155.69999999999999</v>
      </c>
      <c r="E43" s="47">
        <f t="shared" si="10"/>
        <v>-5.7999999999999829</v>
      </c>
      <c r="F43" s="29">
        <f t="shared" ref="F43:F50" si="11">+IF(B43&lt;&gt;0,IF(ABS((E43)/B43)&gt;1,"n/a ",(E43)/B43*SIGN(B43)),"n/a ")</f>
        <v>-3.8692461641093946E-2</v>
      </c>
    </row>
    <row r="44" spans="1:7" x14ac:dyDescent="0.2">
      <c r="A44" s="79" t="s">
        <v>340</v>
      </c>
      <c r="B44" s="91">
        <v>66.3</v>
      </c>
      <c r="C44" s="91">
        <v>67</v>
      </c>
      <c r="E44" s="47">
        <f t="shared" si="10"/>
        <v>0.70000000000000284</v>
      </c>
      <c r="F44" s="29">
        <f t="shared" si="11"/>
        <v>1.0558069381598837E-2</v>
      </c>
    </row>
    <row r="45" spans="1:7" x14ac:dyDescent="0.2">
      <c r="A45" s="79" t="s">
        <v>62</v>
      </c>
      <c r="B45" s="91">
        <v>45.9</v>
      </c>
      <c r="C45" s="91">
        <v>50.1</v>
      </c>
      <c r="E45" s="47">
        <f t="shared" si="10"/>
        <v>4.2000000000000028</v>
      </c>
      <c r="F45" s="29">
        <f t="shared" si="11"/>
        <v>9.1503267973856273E-2</v>
      </c>
    </row>
    <row r="46" spans="1:7" x14ac:dyDescent="0.2">
      <c r="A46" s="79" t="s">
        <v>351</v>
      </c>
      <c r="B46" s="91">
        <v>160.5</v>
      </c>
      <c r="C46" s="91">
        <v>163.6</v>
      </c>
      <c r="E46" s="47">
        <f t="shared" si="10"/>
        <v>3.0999999999999943</v>
      </c>
      <c r="F46" s="29">
        <f t="shared" si="11"/>
        <v>1.931464174454825E-2</v>
      </c>
    </row>
    <row r="47" spans="1:7" x14ac:dyDescent="0.2">
      <c r="A47" s="79" t="s">
        <v>345</v>
      </c>
      <c r="B47" s="146">
        <v>1.2999999999999999E-3</v>
      </c>
      <c r="C47" s="146">
        <v>1.2999999999999999E-3</v>
      </c>
      <c r="E47" s="90">
        <f t="shared" si="10"/>
        <v>0</v>
      </c>
      <c r="F47" s="29">
        <f t="shared" si="11"/>
        <v>0</v>
      </c>
    </row>
    <row r="48" spans="1:7" x14ac:dyDescent="0.2">
      <c r="A48" s="79" t="s">
        <v>346</v>
      </c>
      <c r="B48" s="146">
        <v>4.0000000000000002E-4</v>
      </c>
      <c r="C48" s="146">
        <v>4.0000000000000002E-4</v>
      </c>
      <c r="E48" s="90">
        <f t="shared" si="10"/>
        <v>0</v>
      </c>
      <c r="F48" s="29">
        <f t="shared" si="11"/>
        <v>0</v>
      </c>
    </row>
    <row r="49" spans="1:6" x14ac:dyDescent="0.2">
      <c r="A49" s="79" t="s">
        <v>350</v>
      </c>
      <c r="B49" s="91">
        <v>157.6</v>
      </c>
      <c r="C49" s="91">
        <v>175.2</v>
      </c>
      <c r="E49" s="47">
        <f t="shared" si="10"/>
        <v>17.599999999999994</v>
      </c>
      <c r="F49" s="29">
        <f t="shared" si="11"/>
        <v>0.11167512690355327</v>
      </c>
    </row>
    <row r="50" spans="1:6" x14ac:dyDescent="0.2">
      <c r="A50" s="79" t="s">
        <v>352</v>
      </c>
      <c r="B50" s="144">
        <v>-6298</v>
      </c>
      <c r="C50" s="144">
        <v>-2088</v>
      </c>
      <c r="E50" s="59">
        <f t="shared" si="10"/>
        <v>4210</v>
      </c>
      <c r="F50" s="29">
        <f t="shared" si="11"/>
        <v>0.66846617973959988</v>
      </c>
    </row>
  </sheetData>
  <mergeCells count="1">
    <mergeCell ref="E22:F22"/>
  </mergeCells>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rowBreaks count="1" manualBreakCount="1">
    <brk id="1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1EC9C-4B76-421A-9DD9-DED113BFB5EC}">
  <sheetPr>
    <pageSetUpPr fitToPage="1"/>
  </sheetPr>
  <dimension ref="A1:N19"/>
  <sheetViews>
    <sheetView showGridLines="0" zoomScaleNormal="100" workbookViewId="0">
      <selection activeCell="O5" sqref="O5"/>
    </sheetView>
  </sheetViews>
  <sheetFormatPr defaultRowHeight="14.25" x14ac:dyDescent="0.2"/>
  <cols>
    <col min="1" max="1" width="54.5703125" style="3" customWidth="1"/>
    <col min="2" max="7" width="9.140625" style="3"/>
    <col min="8" max="8" width="2.140625" style="3" customWidth="1"/>
    <col min="9" max="10" width="9.140625" style="3"/>
    <col min="11" max="11" width="2.140625" style="3" customWidth="1"/>
    <col min="12" max="13" width="9.140625" style="3"/>
    <col min="14" max="14" width="10.140625" style="3" customWidth="1"/>
    <col min="15" max="16384" width="9.140625" style="3"/>
  </cols>
  <sheetData>
    <row r="1" spans="1:14" ht="27.75" x14ac:dyDescent="0.4">
      <c r="A1" s="1" t="s">
        <v>0</v>
      </c>
      <c r="B1" s="2"/>
      <c r="C1" s="2"/>
      <c r="D1" s="2"/>
      <c r="E1" s="2"/>
      <c r="F1" s="2"/>
      <c r="G1" s="2"/>
      <c r="H1" s="2"/>
      <c r="I1" s="2"/>
      <c r="J1" s="2"/>
      <c r="K1" s="2"/>
      <c r="L1" s="2"/>
      <c r="M1" s="2"/>
      <c r="N1" s="2"/>
    </row>
    <row r="3" spans="1:14" ht="18" x14ac:dyDescent="0.25">
      <c r="A3" s="4" t="s">
        <v>267</v>
      </c>
      <c r="B3" s="5"/>
      <c r="C3" s="5"/>
      <c r="D3" s="5"/>
      <c r="E3" s="5"/>
      <c r="F3" s="5"/>
      <c r="G3" s="5"/>
      <c r="H3" s="5"/>
      <c r="I3" s="5"/>
      <c r="J3" s="5"/>
      <c r="K3" s="5"/>
      <c r="L3" s="5"/>
      <c r="M3" s="5"/>
      <c r="N3" s="5"/>
    </row>
    <row r="4" spans="1:14" s="7" customFormat="1" ht="12.75" x14ac:dyDescent="0.2"/>
    <row r="5" spans="1:14" s="7" customFormat="1" ht="12.75" x14ac:dyDescent="0.2">
      <c r="B5" s="9" t="s">
        <v>49</v>
      </c>
      <c r="C5" s="9" t="s">
        <v>50</v>
      </c>
      <c r="D5" s="9" t="s">
        <v>51</v>
      </c>
      <c r="E5" s="9" t="s">
        <v>52</v>
      </c>
      <c r="F5" s="9" t="s">
        <v>53</v>
      </c>
      <c r="G5" s="9" t="s">
        <v>308</v>
      </c>
      <c r="I5" s="11" t="s">
        <v>305</v>
      </c>
      <c r="J5" s="11" t="s">
        <v>306</v>
      </c>
      <c r="K5" s="6"/>
      <c r="L5" s="11" t="s">
        <v>307</v>
      </c>
      <c r="M5" s="12"/>
    </row>
    <row r="6" spans="1:14" s="7" customFormat="1" ht="13.5" thickBot="1" x14ac:dyDescent="0.25">
      <c r="B6" s="10" t="s">
        <v>54</v>
      </c>
      <c r="C6" s="10" t="s">
        <v>54</v>
      </c>
      <c r="D6" s="10" t="s">
        <v>54</v>
      </c>
      <c r="E6" s="10" t="s">
        <v>54</v>
      </c>
      <c r="F6" s="10" t="s">
        <v>54</v>
      </c>
      <c r="G6" s="10" t="s">
        <v>54</v>
      </c>
      <c r="I6" s="10" t="s">
        <v>54</v>
      </c>
      <c r="J6" s="10" t="s">
        <v>54</v>
      </c>
      <c r="K6" s="6"/>
      <c r="L6" s="10" t="s">
        <v>54</v>
      </c>
      <c r="M6" s="10" t="s">
        <v>55</v>
      </c>
    </row>
    <row r="7" spans="1:14" s="7" customFormat="1" ht="12.75" x14ac:dyDescent="0.2">
      <c r="A7" s="78" t="s">
        <v>1</v>
      </c>
    </row>
    <row r="8" spans="1:14" s="7" customFormat="1" ht="12.75" x14ac:dyDescent="0.2">
      <c r="A8" s="79" t="s">
        <v>2</v>
      </c>
      <c r="B8" s="47">
        <v>0</v>
      </c>
      <c r="C8" s="47">
        <v>0</v>
      </c>
      <c r="D8" s="47">
        <v>0</v>
      </c>
      <c r="E8" s="47">
        <v>0</v>
      </c>
      <c r="F8" s="47">
        <v>0</v>
      </c>
      <c r="G8" s="47">
        <v>4.7639999999999998E-5</v>
      </c>
      <c r="H8" s="47"/>
      <c r="I8" s="47">
        <f>SUM(D8:E8)</f>
        <v>0</v>
      </c>
      <c r="J8" s="47">
        <f>SUM(F8:G8)</f>
        <v>4.7639999999999998E-5</v>
      </c>
      <c r="L8" s="47">
        <f t="shared" ref="L8:L16" si="0">J8-I8</f>
        <v>4.7639999999999998E-5</v>
      </c>
      <c r="M8" s="29" t="str">
        <f t="shared" ref="M8:M18" si="1">+IF(I8&lt;&gt;0,IF(ABS((L8)/I8)&gt;1,"n/a ",(L8)/I8*SIGN(I8)),"n/a ")</f>
        <v xml:space="preserve">n/a </v>
      </c>
    </row>
    <row r="9" spans="1:14" s="7" customFormat="1" ht="12.75" x14ac:dyDescent="0.2">
      <c r="A9" s="79" t="s">
        <v>3</v>
      </c>
      <c r="B9" s="47">
        <v>0.2</v>
      </c>
      <c r="C9" s="47">
        <v>0.24</v>
      </c>
      <c r="D9" s="47">
        <v>0.37</v>
      </c>
      <c r="E9" s="47">
        <v>0.53</v>
      </c>
      <c r="F9" s="47">
        <v>0.61</v>
      </c>
      <c r="G9" s="47">
        <v>0.57219215000000001</v>
      </c>
      <c r="H9" s="47"/>
      <c r="I9" s="47">
        <f t="shared" ref="I9:I11" si="2">SUM(D9:E9)</f>
        <v>0.9</v>
      </c>
      <c r="J9" s="47">
        <f t="shared" ref="J9:J12" si="3">SUM(F9:G9)</f>
        <v>1.1821921500000001</v>
      </c>
      <c r="L9" s="47">
        <f>J9-I9</f>
        <v>0.28219215000000009</v>
      </c>
      <c r="M9" s="35">
        <f>+IF(I9&lt;&gt;0,IF(ABS((L9)/I9)&gt;1,"n/a ",(L9)/I9*SIGN(I9)),"n/a ")</f>
        <v>0.31354683333333344</v>
      </c>
    </row>
    <row r="10" spans="1:14" s="7" customFormat="1" ht="12.75" x14ac:dyDescent="0.2">
      <c r="A10" s="79" t="s">
        <v>4</v>
      </c>
      <c r="B10" s="47">
        <v>0.2</v>
      </c>
      <c r="C10" s="47">
        <v>0.2</v>
      </c>
      <c r="D10" s="47">
        <v>0</v>
      </c>
      <c r="E10" s="47">
        <v>0</v>
      </c>
      <c r="F10" s="47">
        <v>0</v>
      </c>
      <c r="G10" s="47">
        <v>0</v>
      </c>
      <c r="H10" s="47"/>
      <c r="I10" s="47">
        <f t="shared" si="2"/>
        <v>0</v>
      </c>
      <c r="J10" s="47">
        <f>SUM(F10:G10)</f>
        <v>0</v>
      </c>
      <c r="L10" s="47">
        <f>J10-I10</f>
        <v>0</v>
      </c>
      <c r="M10" s="29" t="str">
        <f>+IF(I10&lt;&gt;0,IF(ABS((L10)/I10)&gt;1,"n/a ",(L10)/I10*SIGN(I10)),"n/a ")</f>
        <v xml:space="preserve">n/a </v>
      </c>
    </row>
    <row r="11" spans="1:14" s="7" customFormat="1" ht="12.75" x14ac:dyDescent="0.2">
      <c r="A11" s="79" t="s">
        <v>5</v>
      </c>
      <c r="B11" s="47">
        <v>0</v>
      </c>
      <c r="C11" s="47">
        <v>0</v>
      </c>
      <c r="D11" s="47">
        <v>0</v>
      </c>
      <c r="E11" s="47">
        <v>0</v>
      </c>
      <c r="F11" s="47">
        <v>0</v>
      </c>
      <c r="G11" s="47">
        <v>-9.4393660000000004E-2</v>
      </c>
      <c r="H11" s="47"/>
      <c r="I11" s="47">
        <f t="shared" si="2"/>
        <v>0</v>
      </c>
      <c r="J11" s="47">
        <f t="shared" si="3"/>
        <v>-9.4393660000000004E-2</v>
      </c>
      <c r="L11" s="47">
        <f>J11-I11</f>
        <v>-9.4393660000000004E-2</v>
      </c>
      <c r="M11" s="29" t="str">
        <f t="shared" si="1"/>
        <v xml:space="preserve">n/a </v>
      </c>
    </row>
    <row r="12" spans="1:14" s="7" customFormat="1" ht="12.75" x14ac:dyDescent="0.2">
      <c r="A12" s="79" t="s">
        <v>6</v>
      </c>
      <c r="B12" s="48">
        <v>0</v>
      </c>
      <c r="C12" s="48">
        <v>0</v>
      </c>
      <c r="D12" s="48">
        <v>0</v>
      </c>
      <c r="E12" s="48">
        <v>0</v>
      </c>
      <c r="F12" s="48">
        <v>0</v>
      </c>
      <c r="G12" s="48">
        <v>0</v>
      </c>
      <c r="H12" s="47"/>
      <c r="I12" s="48">
        <f>SUM(D12:E12)</f>
        <v>0</v>
      </c>
      <c r="J12" s="48">
        <f t="shared" si="3"/>
        <v>0</v>
      </c>
      <c r="K12" s="42"/>
      <c r="L12" s="55">
        <f t="shared" si="0"/>
        <v>0</v>
      </c>
      <c r="M12" s="43" t="str">
        <f>+IF(I12&lt;&gt;0,IF(ABS((L12)/I12)&gt;1,"n/a ",(L12)/I12*SIGN(I12)),"n/a ")</f>
        <v xml:space="preserve">n/a </v>
      </c>
    </row>
    <row r="13" spans="1:14" s="7" customFormat="1" ht="12.75" x14ac:dyDescent="0.2">
      <c r="A13" s="78" t="s">
        <v>7</v>
      </c>
      <c r="B13" s="50">
        <f>SUM(B8:B12)</f>
        <v>0.4</v>
      </c>
      <c r="C13" s="50">
        <f t="shared" ref="C13:J13" si="4">SUM(C8:C12)</f>
        <v>0.44</v>
      </c>
      <c r="D13" s="50">
        <f t="shared" si="4"/>
        <v>0.37</v>
      </c>
      <c r="E13" s="50">
        <f t="shared" si="4"/>
        <v>0.53</v>
      </c>
      <c r="F13" s="50">
        <f t="shared" si="4"/>
        <v>0.61</v>
      </c>
      <c r="G13" s="50">
        <f t="shared" si="4"/>
        <v>0.47784613000000004</v>
      </c>
      <c r="H13" s="47"/>
      <c r="I13" s="50">
        <f>SUM(I8:I12)</f>
        <v>0.9</v>
      </c>
      <c r="J13" s="50">
        <f t="shared" si="4"/>
        <v>1.0878461300000002</v>
      </c>
      <c r="K13" s="40"/>
      <c r="L13" s="56">
        <f t="shared" si="0"/>
        <v>0.18784613000000017</v>
      </c>
      <c r="M13" s="39">
        <f t="shared" si="1"/>
        <v>0.20871792222222241</v>
      </c>
    </row>
    <row r="14" spans="1:14" s="7" customFormat="1" ht="12.75" x14ac:dyDescent="0.2">
      <c r="A14" s="78"/>
      <c r="B14" s="50"/>
      <c r="C14" s="50"/>
      <c r="D14" s="50"/>
      <c r="E14" s="50"/>
      <c r="F14" s="50"/>
      <c r="G14" s="50"/>
      <c r="H14" s="47"/>
      <c r="I14" s="50"/>
      <c r="J14" s="50"/>
      <c r="K14" s="40"/>
      <c r="L14" s="56"/>
      <c r="M14" s="39"/>
    </row>
    <row r="15" spans="1:14" s="7" customFormat="1" ht="12.75" x14ac:dyDescent="0.2">
      <c r="A15" s="79" t="s">
        <v>8</v>
      </c>
      <c r="B15" s="47">
        <v>0.82</v>
      </c>
      <c r="C15" s="47">
        <v>0.84000000000000008</v>
      </c>
      <c r="D15" s="47">
        <v>1.27</v>
      </c>
      <c r="E15" s="47">
        <v>1.1299999999999999</v>
      </c>
      <c r="F15" s="47">
        <v>0.38</v>
      </c>
      <c r="G15" s="47">
        <v>0.45633858000000105</v>
      </c>
      <c r="H15" s="47"/>
      <c r="I15" s="47">
        <f t="shared" ref="I15" si="5">SUM(D15:E15)</f>
        <v>2.4</v>
      </c>
      <c r="J15" s="47">
        <f>SUM(F15:G15)</f>
        <v>0.83633858000000105</v>
      </c>
      <c r="K15" s="42"/>
      <c r="L15" s="57">
        <f>J15-I15</f>
        <v>-1.563661419999999</v>
      </c>
      <c r="M15" s="41">
        <f>+IF(I15&lt;&gt;0,IF(ABS((L15)/I15)&gt;1,"n/a ",(L15)/I15*SIGN(I15)),"n/a ")</f>
        <v>-0.65152559166666624</v>
      </c>
    </row>
    <row r="16" spans="1:14" s="7" customFormat="1" ht="12.75" x14ac:dyDescent="0.2">
      <c r="A16" s="79" t="s">
        <v>15</v>
      </c>
      <c r="B16" s="47">
        <v>0</v>
      </c>
      <c r="C16" s="47">
        <v>0</v>
      </c>
      <c r="D16" s="47">
        <v>0</v>
      </c>
      <c r="E16" s="47">
        <v>0</v>
      </c>
      <c r="F16" s="47">
        <v>0</v>
      </c>
      <c r="G16" s="47">
        <v>0</v>
      </c>
      <c r="H16" s="47"/>
      <c r="I16" s="47">
        <f>SUM(D16:E16)</f>
        <v>0</v>
      </c>
      <c r="J16" s="47">
        <f>SUM(F16:G16)</f>
        <v>0</v>
      </c>
      <c r="K16" s="42"/>
      <c r="L16" s="57">
        <f t="shared" si="0"/>
        <v>0</v>
      </c>
      <c r="M16" s="41" t="str">
        <f>+IF(I16&lt;&gt;0,IF(ABS((L16)/I16)&gt;1,"n/a ",(L16)/I16*SIGN(I16)),"n/a ")</f>
        <v xml:space="preserve">n/a </v>
      </c>
    </row>
    <row r="17" spans="1:13" s="7" customFormat="1" ht="12.75" x14ac:dyDescent="0.2">
      <c r="A17" s="79" t="s">
        <v>259</v>
      </c>
      <c r="B17" s="47">
        <v>-19.46</v>
      </c>
      <c r="C17" s="47">
        <v>-19.23</v>
      </c>
      <c r="D17" s="47">
        <v>-20.99</v>
      </c>
      <c r="E17" s="47">
        <v>-20.38</v>
      </c>
      <c r="F17" s="47">
        <v>-21.49</v>
      </c>
      <c r="G17" s="47">
        <v>-25.385925920000005</v>
      </c>
      <c r="H17" s="47"/>
      <c r="I17" s="47">
        <f>SUM(D17:E17)</f>
        <v>-41.37</v>
      </c>
      <c r="J17" s="47">
        <f t="shared" ref="J17" si="6">SUM(F17:G17)</f>
        <v>-46.87592592</v>
      </c>
      <c r="K17" s="42"/>
      <c r="L17" s="57">
        <f>J17-I17</f>
        <v>-5.5059259200000028</v>
      </c>
      <c r="M17" s="41">
        <f t="shared" si="1"/>
        <v>-0.1330898216098623</v>
      </c>
    </row>
    <row r="18" spans="1:13" s="7" customFormat="1" ht="13.5" thickBot="1" x14ac:dyDescent="0.25">
      <c r="A18" s="78" t="s">
        <v>276</v>
      </c>
      <c r="B18" s="53">
        <f>SUM(B13:B17)</f>
        <v>-18.240000000000002</v>
      </c>
      <c r="C18" s="53">
        <f t="shared" ref="C18:J18" si="7">SUM(C13:C17)</f>
        <v>-17.95</v>
      </c>
      <c r="D18" s="53">
        <f t="shared" si="7"/>
        <v>-19.349999999999998</v>
      </c>
      <c r="E18" s="53">
        <f t="shared" si="7"/>
        <v>-18.72</v>
      </c>
      <c r="F18" s="53">
        <f t="shared" si="7"/>
        <v>-20.5</v>
      </c>
      <c r="G18" s="53">
        <f t="shared" si="7"/>
        <v>-24.451741210000005</v>
      </c>
      <c r="H18" s="47"/>
      <c r="I18" s="53">
        <f>SUM(I13:I17)</f>
        <v>-38.07</v>
      </c>
      <c r="J18" s="53">
        <f t="shared" si="7"/>
        <v>-44.951741210000002</v>
      </c>
      <c r="K18" s="40"/>
      <c r="L18" s="58">
        <f>J18-I18</f>
        <v>-6.8817412100000013</v>
      </c>
      <c r="M18" s="44">
        <f t="shared" si="1"/>
        <v>-0.18076546388232206</v>
      </c>
    </row>
    <row r="19" spans="1:13" ht="15" thickTop="1" x14ac:dyDescent="0.2">
      <c r="A19" s="80"/>
    </row>
  </sheetData>
  <pageMargins left="0.70866141732283472" right="0.70866141732283472" top="0.74803149606299213" bottom="0.74803149606299213" header="0.31496062992125984" footer="0.31496062992125984"/>
  <pageSetup paperSize="9" scale="81" fitToHeight="0" orientation="landscape" r:id="rId1"/>
  <headerFooter>
    <oddFooter>&amp;C&amp;"Arial,Regular"&amp;10Page &amp;P</oddFooter>
  </headerFooter>
  <ignoredErrors>
    <ignoredError sqref="I8:J1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18</vt:i4>
      </vt:variant>
      <vt:variant>
        <vt:lpstr>Named Ranges</vt:lpstr>
      </vt:variant>
      <vt:variant>
        <vt:i4>9</vt:i4>
      </vt:variant>
    </vt:vector>
  </HeadingPairs>
  <TitlesOfParts>
    <vt:vector size="27" baseType="lpstr">
      <vt:lpstr>Disclaimer</vt:lpstr>
      <vt:lpstr>Group Result</vt:lpstr>
      <vt:lpstr>Advice</vt:lpstr>
      <vt:lpstr>Portfolio &amp; EA</vt:lpstr>
      <vt:lpstr>Investments</vt:lpstr>
      <vt:lpstr>P&amp;I</vt:lpstr>
      <vt:lpstr>Ex-ANZ ALs</vt:lpstr>
      <vt:lpstr>MLC</vt:lpstr>
      <vt:lpstr>Corporate</vt:lpstr>
      <vt:lpstr>Disc Ops</vt:lpstr>
      <vt:lpstr>FUMA</vt:lpstr>
      <vt:lpstr>Remediation</vt:lpstr>
      <vt:lpstr>UNPAT</vt:lpstr>
      <vt:lpstr>Balance Sheet</vt:lpstr>
      <vt:lpstr>Cash Flows</vt:lpstr>
      <vt:lpstr>Debt</vt:lpstr>
      <vt:lpstr>Asset Allocation</vt:lpstr>
      <vt:lpstr>Ratios</vt:lpstr>
      <vt:lpstr>Advice!Print_Area</vt:lpstr>
      <vt:lpstr>'Group Result'!Print_Area</vt:lpstr>
      <vt:lpstr>Advice!Print_Titles</vt:lpstr>
      <vt:lpstr>'Disc Ops'!Print_Titles</vt:lpstr>
      <vt:lpstr>Disclaimer!Print_Titles</vt:lpstr>
      <vt:lpstr>FUMA!Print_Titles</vt:lpstr>
      <vt:lpstr>'Group Result'!Print_Titles</vt:lpstr>
      <vt:lpstr>MLC!Print_Titles</vt:lpstr>
      <vt:lpstr>'P&amp;I'!Print_Titles</vt:lpstr>
    </vt:vector>
  </TitlesOfParts>
  <Company>IOOF</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Brenton Kopra</dc:creator>
  <cp:lastModifiedBy>Brenton Kopra</cp:lastModifiedBy>
  <cp:lastPrinted>2021-08-25T22:07:37Z</cp:lastPrinted>
  <dcterms:created xsi:type="dcterms:W3CDTF">2020-12-09T23:13:32Z</dcterms:created>
  <dcterms:modified xsi:type="dcterms:W3CDTF">2021-08-25T22:15:38Z</dcterms:modified>
</cp:coreProperties>
</file>